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170" yWindow="375" windowWidth="15630" windowHeight="12345"/>
  </bookViews>
  <sheets>
    <sheet name="DESCRIPTION" sheetId="10" r:id="rId1"/>
    <sheet name="HONEYBEE_FIXED COST" sheetId="2" r:id="rId2"/>
    <sheet name="HONEYBEE_ENTERPRISE BUDGET" sheetId="1" r:id="rId3"/>
    <sheet name="ANALYSIS" sheetId="9" r:id="rId4"/>
  </sheets>
  <calcPr calcId="145621"/>
</workbook>
</file>

<file path=xl/calcChain.xml><?xml version="1.0" encoding="utf-8"?>
<calcChain xmlns="http://schemas.openxmlformats.org/spreadsheetml/2006/main">
  <c r="J9" i="9" l="1"/>
  <c r="F26" i="9"/>
  <c r="F25" i="2"/>
  <c r="N22" i="2" l="1"/>
  <c r="N23" i="2"/>
  <c r="N24" i="2"/>
  <c r="N25" i="2"/>
  <c r="N26" i="2"/>
  <c r="N27" i="2"/>
  <c r="N28" i="2"/>
  <c r="N29" i="2"/>
  <c r="N30" i="2"/>
  <c r="N31" i="2"/>
  <c r="N32" i="2"/>
  <c r="N33" i="2"/>
  <c r="N34" i="2"/>
  <c r="N35" i="2"/>
  <c r="N36" i="2"/>
  <c r="N21" i="2"/>
  <c r="N9" i="2"/>
  <c r="N10" i="2"/>
  <c r="N11" i="2"/>
  <c r="N12" i="2"/>
  <c r="N13" i="2"/>
  <c r="N14" i="2"/>
  <c r="N15" i="2"/>
  <c r="N16" i="2"/>
  <c r="N17" i="2"/>
  <c r="N8" i="2"/>
  <c r="D12" i="9" l="1"/>
  <c r="G46" i="1"/>
  <c r="H52" i="1" l="1"/>
  <c r="H53" i="1"/>
  <c r="H54" i="1"/>
  <c r="F20" i="1"/>
  <c r="F24" i="1"/>
  <c r="F28" i="1"/>
  <c r="F40" i="1"/>
  <c r="F46" i="1"/>
  <c r="H40" i="1"/>
  <c r="H34" i="1"/>
  <c r="G34" i="1"/>
  <c r="F34" i="1"/>
  <c r="H28" i="1"/>
  <c r="G24" i="1"/>
  <c r="H24" i="1"/>
  <c r="H20" i="1"/>
  <c r="G37" i="1"/>
  <c r="G36" i="1"/>
  <c r="F37" i="1"/>
  <c r="F36" i="1"/>
  <c r="F38" i="1"/>
  <c r="F39" i="1" s="1"/>
  <c r="G39" i="1" s="1"/>
  <c r="K37" i="2"/>
  <c r="O42" i="2"/>
  <c r="O40" i="2"/>
  <c r="M41" i="2"/>
  <c r="N41" i="2"/>
  <c r="N40" i="2"/>
  <c r="M40" i="2"/>
  <c r="L42" i="2"/>
  <c r="K42" i="2"/>
  <c r="F31" i="1"/>
  <c r="G31" i="1"/>
  <c r="F32" i="1"/>
  <c r="G32" i="1" s="1"/>
  <c r="F33" i="1"/>
  <c r="G33" i="1"/>
  <c r="F27" i="1"/>
  <c r="G27" i="1" s="1"/>
  <c r="F23" i="1"/>
  <c r="G23" i="1" s="1"/>
  <c r="F30" i="1"/>
  <c r="G30" i="1" s="1"/>
  <c r="F26" i="1"/>
  <c r="G26" i="1" s="1"/>
  <c r="G28" i="1" s="1"/>
  <c r="F22" i="1"/>
  <c r="G22" i="1" s="1"/>
  <c r="F18" i="1"/>
  <c r="G18" i="1" s="1"/>
  <c r="F19" i="1"/>
  <c r="G19" i="1" s="1"/>
  <c r="F17" i="1"/>
  <c r="G17" i="1" s="1"/>
  <c r="F10" i="1"/>
  <c r="G10" i="1" s="1"/>
  <c r="F11" i="1"/>
  <c r="G11" i="1" s="1"/>
  <c r="F9" i="1"/>
  <c r="K18" i="2"/>
  <c r="G21" i="2"/>
  <c r="F22" i="2"/>
  <c r="G22" i="2" s="1"/>
  <c r="F21" i="2"/>
  <c r="F23" i="2"/>
  <c r="G23" i="2" s="1"/>
  <c r="F24" i="2"/>
  <c r="G24" i="2" s="1"/>
  <c r="H24" i="2" s="1"/>
  <c r="G25" i="2"/>
  <c r="H25" i="2" s="1"/>
  <c r="F26" i="2"/>
  <c r="G26" i="2" s="1"/>
  <c r="F27" i="2"/>
  <c r="F28" i="2"/>
  <c r="G28" i="2" s="1"/>
  <c r="H28" i="2" s="1"/>
  <c r="F29" i="2"/>
  <c r="G29" i="2" s="1"/>
  <c r="F30" i="2"/>
  <c r="F31" i="2"/>
  <c r="G31" i="2" s="1"/>
  <c r="H31" i="2" s="1"/>
  <c r="F32" i="2"/>
  <c r="G32" i="2" s="1"/>
  <c r="H32" i="2" s="1"/>
  <c r="F33" i="2"/>
  <c r="G33" i="2" s="1"/>
  <c r="F34" i="2"/>
  <c r="G34" i="2"/>
  <c r="F35" i="2"/>
  <c r="G35" i="2" s="1"/>
  <c r="H35" i="2" s="1"/>
  <c r="F36" i="2"/>
  <c r="G36" i="2"/>
  <c r="H36" i="2" s="1"/>
  <c r="F16" i="2"/>
  <c r="F17" i="2"/>
  <c r="F13" i="2"/>
  <c r="G13" i="2" s="1"/>
  <c r="H13" i="2" s="1"/>
  <c r="F14" i="2"/>
  <c r="G14" i="2" s="1"/>
  <c r="H14" i="2" s="1"/>
  <c r="F15" i="2"/>
  <c r="G15" i="2" s="1"/>
  <c r="H15" i="2" s="1"/>
  <c r="F11" i="2"/>
  <c r="G11" i="2" s="1"/>
  <c r="F12" i="2"/>
  <c r="F9" i="2"/>
  <c r="G9" i="2" s="1"/>
  <c r="F10" i="2"/>
  <c r="G10" i="2" s="1"/>
  <c r="F8" i="2"/>
  <c r="G8" i="2" s="1"/>
  <c r="G40" i="1" l="1"/>
  <c r="G38" i="1"/>
  <c r="G20" i="1"/>
  <c r="G9" i="1"/>
  <c r="G12" i="1" s="1"/>
  <c r="F12" i="1"/>
  <c r="H21" i="2"/>
  <c r="H30" i="2"/>
  <c r="H34" i="2"/>
  <c r="H23" i="2"/>
  <c r="G30" i="2"/>
  <c r="G27" i="2"/>
  <c r="H27" i="2" s="1"/>
  <c r="H33" i="2"/>
  <c r="H29" i="2"/>
  <c r="H26" i="2"/>
  <c r="H22" i="2"/>
  <c r="G12" i="2"/>
  <c r="H12" i="2" s="1"/>
  <c r="H9" i="2"/>
  <c r="M15" i="2"/>
  <c r="M14" i="2"/>
  <c r="M13" i="2"/>
  <c r="G17" i="2"/>
  <c r="H17" i="2" s="1"/>
  <c r="H11" i="2"/>
  <c r="G16" i="2"/>
  <c r="H16" i="2" s="1"/>
  <c r="H8" i="2"/>
  <c r="H10" i="2"/>
  <c r="F52" i="1" l="1"/>
  <c r="G52" i="1"/>
  <c r="O41" i="2"/>
  <c r="M9" i="2"/>
  <c r="O9" i="2" s="1"/>
  <c r="M12" i="2"/>
  <c r="O15" i="2"/>
  <c r="M17" i="2"/>
  <c r="M11" i="2"/>
  <c r="M10" i="2"/>
  <c r="M8" i="2"/>
  <c r="M16" i="2"/>
  <c r="O13" i="2"/>
  <c r="O14" i="2"/>
  <c r="O12" i="2" l="1"/>
  <c r="O8" i="2"/>
  <c r="O16" i="2"/>
  <c r="O18" i="2" s="1"/>
  <c r="F44" i="1" s="1"/>
  <c r="G44" i="1" s="1"/>
  <c r="O11" i="2"/>
  <c r="O10" i="2"/>
  <c r="O17" i="2"/>
  <c r="H25" i="9" l="1"/>
  <c r="K25" i="9" s="1"/>
  <c r="H8" i="9"/>
  <c r="E8" i="9" s="1"/>
  <c r="I8" i="9" l="1"/>
  <c r="K8" i="9"/>
  <c r="G8" i="9"/>
  <c r="J8" i="9"/>
  <c r="F8" i="9"/>
  <c r="E25" i="9"/>
  <c r="I25" i="9"/>
  <c r="F25" i="9"/>
  <c r="J25" i="9"/>
  <c r="G25" i="9"/>
  <c r="L37" i="2" l="1"/>
  <c r="L18" i="2"/>
  <c r="M34" i="2" l="1"/>
  <c r="M33" i="2"/>
  <c r="M32" i="2"/>
  <c r="M31" i="2"/>
  <c r="M30" i="2"/>
  <c r="M29" i="2"/>
  <c r="M28" i="2"/>
  <c r="M27" i="2"/>
  <c r="M36" i="2"/>
  <c r="M35" i="2"/>
  <c r="M26" i="2"/>
  <c r="M22" i="2"/>
  <c r="O36" i="2" l="1"/>
  <c r="O35" i="2"/>
  <c r="O34" i="2"/>
  <c r="O22" i="2"/>
  <c r="O32" i="2"/>
  <c r="O30" i="2"/>
  <c r="O28" i="2"/>
  <c r="O26" i="2"/>
  <c r="O27" i="2"/>
  <c r="O29" i="2"/>
  <c r="O31" i="2"/>
  <c r="O33" i="2"/>
  <c r="M23" i="2"/>
  <c r="O23" i="2" s="1"/>
  <c r="M24" i="2"/>
  <c r="O24" i="2" s="1"/>
  <c r="M25" i="2"/>
  <c r="O25" i="2" s="1"/>
  <c r="M21" i="2"/>
  <c r="O21" i="2" s="1"/>
  <c r="O37" i="2" l="1"/>
  <c r="F45" i="1" s="1"/>
  <c r="G45" i="1" s="1"/>
  <c r="G47" i="1" s="1"/>
  <c r="G53" i="1" l="1"/>
  <c r="G48" i="1"/>
  <c r="G54" i="1" s="1"/>
  <c r="F47" i="1"/>
  <c r="F48" i="1" l="1"/>
  <c r="F54" i="1" s="1"/>
  <c r="F53" i="1"/>
  <c r="D9" i="9"/>
  <c r="D15" i="9"/>
  <c r="D14" i="9"/>
  <c r="D13" i="9"/>
  <c r="D10" i="9"/>
  <c r="D11" i="9"/>
  <c r="H47" i="1"/>
  <c r="H12" i="9" l="1"/>
  <c r="D29" i="9"/>
  <c r="E9" i="9"/>
  <c r="G9" i="9"/>
  <c r="K12" i="9"/>
  <c r="E12" i="9"/>
  <c r="I12" i="9"/>
  <c r="K9" i="9"/>
  <c r="H9" i="9"/>
  <c r="E13" i="9"/>
  <c r="K13" i="9"/>
  <c r="G12" i="9"/>
  <c r="I9" i="9"/>
  <c r="H11" i="9"/>
  <c r="G13" i="9"/>
  <c r="J13" i="9"/>
  <c r="F9" i="9"/>
  <c r="F15" i="9"/>
  <c r="H14" i="9"/>
  <c r="J14" i="9"/>
  <c r="E10" i="9"/>
  <c r="K10" i="9"/>
  <c r="K11" i="9"/>
  <c r="H13" i="9"/>
  <c r="J11" i="9"/>
  <c r="F11" i="9"/>
  <c r="H15" i="9"/>
  <c r="J15" i="9"/>
  <c r="E14" i="9"/>
  <c r="G14" i="9"/>
  <c r="I10" i="9"/>
  <c r="K14" i="9"/>
  <c r="E11" i="9"/>
  <c r="I13" i="9"/>
  <c r="J12" i="9"/>
  <c r="F12" i="9"/>
  <c r="E15" i="9"/>
  <c r="G15" i="9"/>
  <c r="I14" i="9"/>
  <c r="G10" i="9"/>
  <c r="F10" i="9"/>
  <c r="G11" i="9"/>
  <c r="I11" i="9"/>
  <c r="F13" i="9"/>
  <c r="I15" i="9"/>
  <c r="K15" i="9"/>
  <c r="F14" i="9"/>
  <c r="H10" i="9"/>
  <c r="J10" i="9"/>
  <c r="D28" i="9" l="1"/>
  <c r="G29" i="9"/>
  <c r="D27" i="9"/>
  <c r="K29" i="9"/>
  <c r="H29" i="9"/>
  <c r="D26" i="9"/>
  <c r="D30" i="9"/>
  <c r="E29" i="9"/>
  <c r="D31" i="9"/>
  <c r="D32" i="9"/>
  <c r="I29" i="9"/>
  <c r="J29" i="9"/>
  <c r="F29" i="9"/>
  <c r="K31" i="9" l="1"/>
  <c r="G31" i="9"/>
  <c r="I31" i="9"/>
  <c r="F31" i="9"/>
  <c r="H31" i="9"/>
  <c r="J31" i="9"/>
  <c r="E31" i="9"/>
  <c r="J30" i="9"/>
  <c r="H30" i="9"/>
  <c r="F30" i="9"/>
  <c r="K30" i="9"/>
  <c r="I30" i="9"/>
  <c r="G30" i="9"/>
  <c r="E30" i="9"/>
  <c r="H27" i="9"/>
  <c r="E27" i="9"/>
  <c r="K27" i="9"/>
  <c r="G27" i="9"/>
  <c r="J27" i="9"/>
  <c r="I27" i="9"/>
  <c r="F27" i="9"/>
  <c r="F32" i="9"/>
  <c r="K32" i="9"/>
  <c r="I32" i="9"/>
  <c r="G32" i="9"/>
  <c r="E32" i="9"/>
  <c r="J32" i="9"/>
  <c r="H32" i="9"/>
  <c r="K26" i="9"/>
  <c r="E26" i="9"/>
  <c r="H26" i="9"/>
  <c r="G26" i="9"/>
  <c r="I26" i="9"/>
  <c r="J26" i="9"/>
  <c r="H28" i="9"/>
  <c r="I28" i="9"/>
  <c r="K28" i="9"/>
  <c r="G28" i="9"/>
  <c r="E28" i="9"/>
  <c r="F28" i="9"/>
  <c r="J28" i="9"/>
  <c r="H48" i="1"/>
</calcChain>
</file>

<file path=xl/sharedStrings.xml><?xml version="1.0" encoding="utf-8"?>
<sst xmlns="http://schemas.openxmlformats.org/spreadsheetml/2006/main" count="154" uniqueCount="122">
  <si>
    <t>Item</t>
  </si>
  <si>
    <t>Total Revenue</t>
  </si>
  <si>
    <t>Unit</t>
  </si>
  <si>
    <t>Quantity</t>
  </si>
  <si>
    <t>Interest on operating capital</t>
  </si>
  <si>
    <t>Overhead</t>
  </si>
  <si>
    <t>Ram</t>
  </si>
  <si>
    <t xml:space="preserve">Total </t>
  </si>
  <si>
    <t>Useful life (years)</t>
  </si>
  <si>
    <t>Depreciation</t>
  </si>
  <si>
    <t>Interest</t>
  </si>
  <si>
    <t>Total Cost</t>
  </si>
  <si>
    <t>number</t>
  </si>
  <si>
    <t>Price/Unit</t>
  </si>
  <si>
    <t>Repair &amp; Maint.</t>
  </si>
  <si>
    <t>heads</t>
  </si>
  <si>
    <t>Repair and Maitenance</t>
  </si>
  <si>
    <t xml:space="preserve">Ermias Afeworki, Wallapak Polasub, Caroline Chiu and Kent Mullinix
Institute for Sustainable Food Systems, Kwantlen Polytechnic University
 12666 72 Avenue - Surrey, B.C. V3W 2M8, CANADA 
Email: Kent.Mullinix@kpu.ca   Phone: +1 604-599-2000
This project was generously funded by Vancouver City Savings Credit Union  
</t>
  </si>
  <si>
    <t>pounds</t>
  </si>
  <si>
    <t>Annual Fixed Cost Calculation</t>
  </si>
  <si>
    <t>$/unit</t>
  </si>
  <si>
    <t>Annual insurance</t>
  </si>
  <si>
    <t>Annual fixed cost</t>
  </si>
  <si>
    <t>hours</t>
  </si>
  <si>
    <t>Total veternary cost</t>
  </si>
  <si>
    <t xml:space="preserve">Miscellaneous </t>
  </si>
  <si>
    <t xml:space="preserve">Sensitivity Analysis </t>
  </si>
  <si>
    <t xml:space="preserve">(Value of Production less Total Costs as Price and Yield Vary) </t>
  </si>
  <si>
    <t>Decrease</t>
  </si>
  <si>
    <t>Increase</t>
  </si>
  <si>
    <t>MINUS</t>
  </si>
  <si>
    <t>PLUS</t>
  </si>
  <si>
    <t>Breakeven Analysis</t>
  </si>
  <si>
    <t xml:space="preserve">(Yield as Total Cost and Price Vary) </t>
  </si>
  <si>
    <t>Equipment and tools</t>
  </si>
  <si>
    <t>ANNUAL FIXED COST</t>
  </si>
  <si>
    <t>ANNUAL VARIABLE COST</t>
  </si>
  <si>
    <t>REVENUE</t>
  </si>
  <si>
    <t>TOTAL FIXED COST</t>
  </si>
  <si>
    <t>TOTAL VARIABLE AND FIXED COST</t>
  </si>
  <si>
    <t>RETURNS ABOVE VARIABLE COST</t>
  </si>
  <si>
    <t>TOTAL VARIABLE COST</t>
  </si>
  <si>
    <t>NET RETURN</t>
  </si>
  <si>
    <t>Yield (pounds)</t>
  </si>
  <si>
    <t>Price/pound</t>
  </si>
  <si>
    <t>Honeybee Enterprise Budget, 50 Hives, Southwest British Columbia</t>
  </si>
  <si>
    <t>Tax (GST &amp; PST)</t>
  </si>
  <si>
    <t>Cost before tax</t>
  </si>
  <si>
    <t>Cost after tax</t>
  </si>
  <si>
    <t>Trade-in value</t>
  </si>
  <si>
    <t>Deep Super</t>
  </si>
  <si>
    <t>Narrow honey super</t>
  </si>
  <si>
    <t>Frames and Plastic Foundation (10)</t>
  </si>
  <si>
    <t>deep super</t>
  </si>
  <si>
    <t xml:space="preserve">Inner cover </t>
  </si>
  <si>
    <t>hive cover</t>
  </si>
  <si>
    <t>Bottom Board Standard</t>
  </si>
  <si>
    <t>Metal queen excluder</t>
  </si>
  <si>
    <t>entrance reducer</t>
  </si>
  <si>
    <t>Frame feeder</t>
  </si>
  <si>
    <t>Bee Boxes</t>
  </si>
  <si>
    <t>J hook hive tool</t>
  </si>
  <si>
    <t>Brush</t>
  </si>
  <si>
    <t>Smoker without Sheild</t>
  </si>
  <si>
    <t>Stainless steel scratcher</t>
  </si>
  <si>
    <t>bee suit</t>
  </si>
  <si>
    <t>gloves</t>
  </si>
  <si>
    <t>Honey Filter</t>
  </si>
  <si>
    <t>45 cm</t>
  </si>
  <si>
    <t>Bucket</t>
  </si>
  <si>
    <t>20L</t>
  </si>
  <si>
    <t>Honey tank  (Filtering and bottling)</t>
  </si>
  <si>
    <t>50 KG</t>
  </si>
  <si>
    <t>Stand for Honey Tank</t>
  </si>
  <si>
    <t>Honey Extractors (4 Frame Motorized)</t>
  </si>
  <si>
    <t>Queen Plunger</t>
  </si>
  <si>
    <t>Queen Marking Pens</t>
  </si>
  <si>
    <t>Paint</t>
  </si>
  <si>
    <t>1 gallon</t>
  </si>
  <si>
    <t>Nails</t>
  </si>
  <si>
    <t>Wrap</t>
  </si>
  <si>
    <t>Rates</t>
  </si>
  <si>
    <t>Honey</t>
  </si>
  <si>
    <t>$/50 Hives</t>
  </si>
  <si>
    <t>Quantity/50 Hives</t>
  </si>
  <si>
    <t>Hives</t>
  </si>
  <si>
    <t>Bees and Queens</t>
  </si>
  <si>
    <t>Bees</t>
  </si>
  <si>
    <t>Queens</t>
  </si>
  <si>
    <t>Bee Replacement</t>
  </si>
  <si>
    <t>Feed</t>
  </si>
  <si>
    <t>Sugar</t>
  </si>
  <si>
    <t>Pollen Patties</t>
  </si>
  <si>
    <t>packages</t>
  </si>
  <si>
    <t>Medication</t>
  </si>
  <si>
    <t>Total</t>
  </si>
  <si>
    <t>Harvesting</t>
  </si>
  <si>
    <t>Honey harvesting labour</t>
  </si>
  <si>
    <t>Transportation between hives</t>
  </si>
  <si>
    <t>Jars</t>
  </si>
  <si>
    <t>Label</t>
  </si>
  <si>
    <t>Cleaning supplies</t>
  </si>
  <si>
    <t>Membership fees</t>
  </si>
  <si>
    <t>Bee boxes</t>
  </si>
  <si>
    <t>Overhead charges</t>
  </si>
  <si>
    <t>Farm liability insurance</t>
  </si>
  <si>
    <t>$/50 hives</t>
  </si>
  <si>
    <t>$/hive</t>
  </si>
  <si>
    <t>RETURNS ABOVE VARIABLE AND FIXED COST</t>
  </si>
  <si>
    <t>RETURNS ABOVE FIXED COST</t>
  </si>
  <si>
    <t>Yours estimate</t>
  </si>
  <si>
    <t>$/Unit</t>
  </si>
  <si>
    <t>$/Hive</t>
  </si>
  <si>
    <t>$/Hives</t>
  </si>
  <si>
    <t>Your estimate</t>
  </si>
  <si>
    <t>Formic Acid</t>
  </si>
  <si>
    <t>Fumagilin-b and Oxytet25</t>
  </si>
  <si>
    <t>ACKNOWLEDGMENTS</t>
  </si>
  <si>
    <t>The enterprise budgets project was generously funded by Vancouver City Savings Credit Union (Vancity).</t>
  </si>
  <si>
    <t>Support for this project does not necessarily imply Vancity's endorsement of the findings or contents here in.</t>
  </si>
  <si>
    <t>($ per 50 Hives)</t>
  </si>
  <si>
    <t>The authors would like to express our sincere appreciation to all the farmers who contributed information used to develop this enterprise budget. We would also like to thank Chris Bodnar, co-owner of Close to Home Organics Ltd, and Heather Pritchard, farm program manager at Farm Folk City Folk, for helping us connect with experienced farmers. We would like to recognize Kwantlen Polytechnic University’s Michael Bomford (Sustainable Agriculture &amp; Food Systems) and Caitlin Dorward (Institute for Sustainable Food Systems) for their invaluable input to this document. Finally, we would like to acknowledge the financial support provided by Vancouver City Savings Credit Union.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</si>
</sst>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4" formatCode="&quot;$&quot;#,##0.00"/>
    <numFmt numFmtId="165"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2"/>
      <name val="Calibri"/>
      <family val="2"/>
      <scheme val="minor"/>
    </font>
    <font>
      <b/>
      <sz val="14"/>
      <name val="Calibri"/>
      <family val="2"/>
      <scheme val="minor"/>
    </font>
    <font>
      <b/>
      <sz val="1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tint="-0.249977111117893"/>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279">
    <xf numFmtId="0" fontId="0" fillId="0" borderId="0" xfId="0"/>
    <xf numFmtId="0" fontId="0" fillId="0" borderId="0" xfId="0" applyFont="1" applyProtection="1"/>
    <xf numFmtId="164" fontId="0" fillId="0" borderId="0" xfId="0" applyNumberFormat="1" applyFont="1" applyProtection="1"/>
    <xf numFmtId="0" fontId="0" fillId="0" borderId="0" xfId="0" applyFont="1" applyFill="1" applyBorder="1" applyProtection="1"/>
    <xf numFmtId="0" fontId="0" fillId="0" borderId="0" xfId="0" applyFont="1" applyBorder="1" applyProtection="1"/>
    <xf numFmtId="0" fontId="0" fillId="0" borderId="7" xfId="0" applyFont="1" applyBorder="1" applyAlignment="1" applyProtection="1">
      <alignment horizontal="center"/>
    </xf>
    <xf numFmtId="164" fontId="0" fillId="0" borderId="0" xfId="0" applyNumberFormat="1" applyFont="1" applyBorder="1" applyProtection="1"/>
    <xf numFmtId="0" fontId="0" fillId="2" borderId="7" xfId="0" applyFont="1" applyFill="1" applyBorder="1" applyAlignment="1" applyProtection="1">
      <alignment horizontal="center"/>
    </xf>
    <xf numFmtId="2" fontId="0" fillId="2" borderId="7" xfId="0" applyNumberFormat="1" applyFont="1" applyFill="1" applyBorder="1" applyAlignment="1" applyProtection="1">
      <alignment horizontal="center"/>
    </xf>
    <xf numFmtId="164" fontId="0" fillId="2" borderId="7" xfId="0" applyNumberFormat="1" applyFont="1" applyFill="1" applyBorder="1" applyAlignment="1" applyProtection="1">
      <alignment horizontal="center"/>
    </xf>
    <xf numFmtId="164" fontId="0" fillId="3" borderId="7" xfId="0" applyNumberFormat="1" applyFont="1" applyFill="1" applyBorder="1" applyAlignment="1" applyProtection="1">
      <alignment horizontal="center"/>
    </xf>
    <xf numFmtId="164" fontId="0" fillId="3" borderId="10" xfId="0" applyNumberFormat="1" applyFont="1" applyFill="1" applyBorder="1" applyAlignment="1" applyProtection="1">
      <alignment horizontal="center"/>
    </xf>
    <xf numFmtId="0" fontId="0" fillId="0" borderId="7" xfId="0" applyFont="1" applyFill="1" applyBorder="1" applyAlignment="1" applyProtection="1">
      <alignment horizontal="center"/>
    </xf>
    <xf numFmtId="164" fontId="0" fillId="0" borderId="7" xfId="0" applyNumberFormat="1" applyFont="1" applyBorder="1" applyAlignment="1" applyProtection="1">
      <alignment horizontal="center"/>
    </xf>
    <xf numFmtId="0" fontId="0" fillId="0" borderId="10" xfId="0" applyFont="1" applyBorder="1" applyAlignment="1" applyProtection="1">
      <alignment horizontal="center"/>
    </xf>
    <xf numFmtId="164" fontId="0" fillId="0" borderId="7" xfId="0" applyNumberFormat="1" applyFont="1" applyFill="1" applyBorder="1" applyAlignment="1" applyProtection="1">
      <alignment horizontal="center"/>
    </xf>
    <xf numFmtId="0" fontId="0" fillId="0" borderId="10" xfId="0" applyFont="1" applyFill="1" applyBorder="1" applyAlignment="1" applyProtection="1">
      <alignment horizontal="center"/>
    </xf>
    <xf numFmtId="0" fontId="0" fillId="0" borderId="22" xfId="0" applyFont="1" applyFill="1" applyBorder="1" applyAlignment="1" applyProtection="1">
      <alignment horizontal="center"/>
    </xf>
    <xf numFmtId="0" fontId="0" fillId="0" borderId="0" xfId="0" applyFont="1" applyFill="1" applyBorder="1" applyAlignment="1" applyProtection="1">
      <alignment horizontal="center"/>
    </xf>
    <xf numFmtId="164" fontId="0" fillId="0" borderId="0" xfId="0" applyNumberFormat="1" applyFont="1" applyFill="1" applyBorder="1" applyAlignment="1" applyProtection="1">
      <alignment horizontal="center"/>
    </xf>
    <xf numFmtId="0" fontId="2" fillId="0" borderId="0" xfId="0" applyFont="1" applyProtection="1"/>
    <xf numFmtId="164" fontId="2" fillId="0" borderId="0" xfId="0" applyNumberFormat="1" applyFont="1" applyProtection="1"/>
    <xf numFmtId="0" fontId="0" fillId="0" borderId="0" xfId="0" applyFont="1" applyAlignment="1" applyProtection="1">
      <alignment horizontal="right"/>
    </xf>
    <xf numFmtId="164" fontId="0" fillId="0" borderId="0" xfId="0" applyNumberFormat="1" applyFont="1" applyAlignment="1" applyProtection="1">
      <alignment horizontal="right"/>
    </xf>
    <xf numFmtId="0" fontId="0" fillId="0" borderId="0" xfId="0" applyNumberFormat="1" applyFont="1" applyProtection="1"/>
    <xf numFmtId="0" fontId="2" fillId="0" borderId="26" xfId="0" applyFont="1" applyBorder="1" applyProtection="1"/>
    <xf numFmtId="0" fontId="2" fillId="0" borderId="16" xfId="0" applyFont="1" applyBorder="1" applyProtection="1"/>
    <xf numFmtId="0" fontId="2" fillId="0" borderId="4" xfId="0" applyFont="1" applyBorder="1" applyAlignment="1" applyProtection="1">
      <alignment horizontal="left"/>
    </xf>
    <xf numFmtId="0" fontId="2" fillId="0" borderId="0" xfId="0" applyFont="1" applyBorder="1" applyProtection="1"/>
    <xf numFmtId="164" fontId="2" fillId="0" borderId="0" xfId="0" applyNumberFormat="1" applyFont="1" applyBorder="1" applyProtection="1"/>
    <xf numFmtId="164" fontId="2" fillId="0" borderId="0" xfId="0" applyNumberFormat="1" applyFont="1" applyBorder="1" applyAlignment="1" applyProtection="1">
      <alignment horizontal="right"/>
    </xf>
    <xf numFmtId="0" fontId="2" fillId="0" borderId="5" xfId="0" applyNumberFormat="1" applyFont="1" applyBorder="1" applyProtection="1"/>
    <xf numFmtId="0" fontId="2" fillId="0" borderId="5" xfId="0" applyFont="1" applyBorder="1" applyProtection="1"/>
    <xf numFmtId="0" fontId="2" fillId="0" borderId="4" xfId="0" applyFont="1" applyBorder="1" applyProtection="1"/>
    <xf numFmtId="9" fontId="0" fillId="2" borderId="24" xfId="0" applyNumberFormat="1" applyFont="1" applyFill="1" applyBorder="1" applyProtection="1"/>
    <xf numFmtId="0" fontId="2" fillId="4" borderId="27" xfId="0" applyFont="1" applyFill="1" applyBorder="1" applyProtection="1"/>
    <xf numFmtId="0" fontId="0" fillId="4" borderId="2" xfId="0" applyFont="1" applyFill="1" applyBorder="1" applyProtection="1"/>
    <xf numFmtId="1" fontId="0" fillId="4" borderId="14" xfId="0" applyNumberFormat="1" applyFont="1" applyFill="1" applyBorder="1" applyAlignment="1" applyProtection="1">
      <alignment horizontal="center"/>
    </xf>
    <xf numFmtId="0" fontId="0" fillId="4" borderId="29" xfId="0" applyFont="1" applyFill="1" applyBorder="1" applyAlignment="1" applyProtection="1">
      <alignment horizontal="center"/>
    </xf>
    <xf numFmtId="164" fontId="0" fillId="4" borderId="29" xfId="0" applyNumberFormat="1" applyFont="1" applyFill="1" applyBorder="1" applyAlignment="1" applyProtection="1">
      <alignment horizontal="center"/>
    </xf>
    <xf numFmtId="0" fontId="0" fillId="4" borderId="30" xfId="0" applyNumberFormat="1" applyFont="1" applyFill="1" applyBorder="1" applyAlignment="1" applyProtection="1">
      <alignment horizontal="center"/>
    </xf>
    <xf numFmtId="0" fontId="0" fillId="4" borderId="30" xfId="0" applyFont="1" applyFill="1" applyBorder="1" applyAlignment="1" applyProtection="1">
      <alignment horizontal="center"/>
    </xf>
    <xf numFmtId="0" fontId="0" fillId="4" borderId="14" xfId="0" applyFont="1" applyFill="1" applyBorder="1" applyAlignment="1" applyProtection="1">
      <alignment horizontal="center"/>
    </xf>
    <xf numFmtId="0" fontId="0" fillId="0" borderId="28" xfId="0" applyFont="1" applyBorder="1" applyProtection="1"/>
    <xf numFmtId="1" fontId="0" fillId="2" borderId="6" xfId="0" applyNumberFormat="1" applyFont="1" applyFill="1" applyBorder="1" applyAlignment="1" applyProtection="1">
      <alignment horizontal="center"/>
    </xf>
    <xf numFmtId="4" fontId="0" fillId="2" borderId="7" xfId="0" applyNumberFormat="1" applyFont="1" applyFill="1" applyBorder="1" applyAlignment="1" applyProtection="1">
      <alignment horizontal="center"/>
    </xf>
    <xf numFmtId="4" fontId="0" fillId="3" borderId="7" xfId="0" applyNumberFormat="1" applyFont="1" applyFill="1" applyBorder="1" applyAlignment="1" applyProtection="1">
      <alignment horizontal="center"/>
    </xf>
    <xf numFmtId="1" fontId="0" fillId="2" borderId="10" xfId="0" applyNumberFormat="1" applyFont="1" applyFill="1" applyBorder="1" applyAlignment="1" applyProtection="1">
      <alignment horizontal="center"/>
    </xf>
    <xf numFmtId="164" fontId="0" fillId="2" borderId="10" xfId="0" applyNumberFormat="1" applyFont="1" applyFill="1" applyBorder="1" applyAlignment="1" applyProtection="1">
      <alignment horizontal="center"/>
    </xf>
    <xf numFmtId="164" fontId="0" fillId="3" borderId="6" xfId="0" applyNumberFormat="1" applyFont="1" applyFill="1" applyBorder="1" applyAlignment="1" applyProtection="1">
      <alignment horizontal="center"/>
    </xf>
    <xf numFmtId="0" fontId="2" fillId="0" borderId="18" xfId="0" applyFont="1" applyBorder="1" applyAlignment="1" applyProtection="1">
      <alignment horizontal="center"/>
    </xf>
    <xf numFmtId="0" fontId="2" fillId="0" borderId="19" xfId="0" applyFont="1" applyBorder="1" applyAlignment="1" applyProtection="1">
      <alignment horizontal="center"/>
    </xf>
    <xf numFmtId="0" fontId="2" fillId="0" borderId="20" xfId="0" applyFont="1" applyBorder="1" applyAlignment="1" applyProtection="1">
      <alignment horizontal="center"/>
    </xf>
    <xf numFmtId="2" fontId="0" fillId="4" borderId="29" xfId="0" applyNumberFormat="1" applyFont="1" applyFill="1" applyBorder="1" applyAlignment="1" applyProtection="1">
      <alignment horizontal="center"/>
    </xf>
    <xf numFmtId="0" fontId="0" fillId="0" borderId="28" xfId="0" applyFont="1" applyFill="1" applyBorder="1" applyProtection="1"/>
    <xf numFmtId="1" fontId="0" fillId="2" borderId="11" xfId="0" applyNumberFormat="1" applyFont="1" applyFill="1" applyBorder="1" applyAlignment="1" applyProtection="1">
      <alignment horizontal="center"/>
    </xf>
    <xf numFmtId="4" fontId="0" fillId="2" borderId="38" xfId="0" applyNumberFormat="1" applyFont="1" applyFill="1" applyBorder="1" applyAlignment="1" applyProtection="1">
      <alignment horizontal="center"/>
    </xf>
    <xf numFmtId="4" fontId="0" fillId="3" borderId="38" xfId="0" applyNumberFormat="1" applyFont="1" applyFill="1" applyBorder="1" applyAlignment="1" applyProtection="1">
      <alignment horizontal="center"/>
    </xf>
    <xf numFmtId="1" fontId="0" fillId="2" borderId="39" xfId="0" applyNumberFormat="1" applyFont="1" applyFill="1" applyBorder="1" applyAlignment="1" applyProtection="1">
      <alignment horizontal="center"/>
    </xf>
    <xf numFmtId="164" fontId="0" fillId="2" borderId="38" xfId="0" applyNumberFormat="1" applyFont="1" applyFill="1" applyBorder="1" applyAlignment="1" applyProtection="1">
      <alignment horizontal="center"/>
    </xf>
    <xf numFmtId="164" fontId="0" fillId="2" borderId="39" xfId="0" applyNumberFormat="1" applyFont="1" applyFill="1" applyBorder="1" applyAlignment="1" applyProtection="1">
      <alignment horizontal="center"/>
    </xf>
    <xf numFmtId="1" fontId="0" fillId="0" borderId="6" xfId="0" applyNumberFormat="1" applyFont="1" applyFill="1" applyBorder="1" applyAlignment="1" applyProtection="1">
      <alignment horizontal="center"/>
    </xf>
    <xf numFmtId="4" fontId="0" fillId="0" borderId="7" xfId="0" applyNumberFormat="1" applyFont="1" applyFill="1" applyBorder="1" applyAlignment="1" applyProtection="1">
      <alignment horizontal="center"/>
    </xf>
    <xf numFmtId="1" fontId="0" fillId="0" borderId="10" xfId="0" applyNumberFormat="1" applyFont="1" applyFill="1" applyBorder="1" applyAlignment="1" applyProtection="1">
      <alignment horizontal="center"/>
    </xf>
    <xf numFmtId="164" fontId="0" fillId="0" borderId="10" xfId="0" applyNumberFormat="1" applyFont="1" applyFill="1" applyBorder="1" applyAlignment="1" applyProtection="1">
      <alignment horizontal="center"/>
    </xf>
    <xf numFmtId="2" fontId="0" fillId="6" borderId="22" xfId="0" applyNumberFormat="1" applyFont="1" applyFill="1" applyBorder="1" applyAlignment="1" applyProtection="1">
      <alignment horizontal="center"/>
    </xf>
    <xf numFmtId="0" fontId="0" fillId="6" borderId="22" xfId="0" applyFont="1" applyFill="1" applyBorder="1" applyAlignment="1" applyProtection="1">
      <alignment horizontal="center"/>
    </xf>
    <xf numFmtId="164" fontId="2" fillId="6" borderId="22" xfId="0" applyNumberFormat="1" applyFont="1" applyFill="1" applyBorder="1" applyAlignment="1" applyProtection="1">
      <alignment horizontal="center"/>
    </xf>
    <xf numFmtId="164" fontId="2" fillId="6" borderId="25" xfId="0" applyNumberFormat="1" applyFont="1" applyFill="1" applyBorder="1" applyAlignment="1" applyProtection="1">
      <alignment horizontal="center"/>
    </xf>
    <xf numFmtId="0" fontId="2" fillId="5" borderId="35" xfId="0" applyFont="1" applyFill="1" applyBorder="1" applyProtection="1"/>
    <xf numFmtId="164" fontId="0" fillId="2" borderId="12" xfId="0" applyNumberFormat="1" applyFont="1" applyFill="1" applyBorder="1" applyAlignment="1" applyProtection="1">
      <alignment horizontal="center"/>
    </xf>
    <xf numFmtId="164" fontId="0" fillId="3" borderId="12" xfId="0" applyNumberFormat="1" applyFont="1" applyFill="1" applyBorder="1" applyAlignment="1" applyProtection="1">
      <alignment horizontal="center"/>
    </xf>
    <xf numFmtId="164" fontId="0" fillId="3" borderId="13" xfId="0" applyNumberFormat="1" applyFont="1" applyFill="1" applyBorder="1" applyAlignment="1" applyProtection="1">
      <alignment horizontal="center"/>
    </xf>
    <xf numFmtId="0" fontId="0" fillId="0" borderId="0" xfId="0" applyFont="1"/>
    <xf numFmtId="0" fontId="0" fillId="5" borderId="4" xfId="0" applyFont="1" applyFill="1" applyBorder="1"/>
    <xf numFmtId="0" fontId="0" fillId="5" borderId="0" xfId="0" applyFont="1" applyFill="1" applyBorder="1"/>
    <xf numFmtId="0" fontId="0" fillId="5" borderId="41" xfId="0" applyFont="1" applyFill="1" applyBorder="1"/>
    <xf numFmtId="0" fontId="5" fillId="0" borderId="0" xfId="0" applyFont="1" applyBorder="1"/>
    <xf numFmtId="165" fontId="10" fillId="2" borderId="37" xfId="1" applyNumberFormat="1" applyFont="1" applyFill="1" applyBorder="1" applyAlignment="1">
      <alignment horizontal="right"/>
    </xf>
    <xf numFmtId="165" fontId="10" fillId="2" borderId="7" xfId="0" applyNumberFormat="1" applyFont="1" applyFill="1" applyBorder="1" applyAlignment="1">
      <alignment horizontal="right"/>
    </xf>
    <xf numFmtId="0" fontId="10" fillId="0" borderId="0" xfId="0" applyFont="1" applyBorder="1" applyAlignment="1">
      <alignment horizontal="center"/>
    </xf>
    <xf numFmtId="165" fontId="10" fillId="2" borderId="10" xfId="0" applyNumberFormat="1" applyFont="1" applyFill="1" applyBorder="1" applyAlignment="1">
      <alignment horizontal="right"/>
    </xf>
    <xf numFmtId="0" fontId="0" fillId="5" borderId="23" xfId="0" applyFont="1" applyFill="1" applyBorder="1"/>
    <xf numFmtId="0" fontId="0" fillId="5" borderId="36" xfId="0" applyFont="1" applyFill="1" applyBorder="1"/>
    <xf numFmtId="0" fontId="0" fillId="5" borderId="45" xfId="0" applyFont="1" applyFill="1" applyBorder="1"/>
    <xf numFmtId="164" fontId="0" fillId="7" borderId="45" xfId="0" applyNumberFormat="1" applyFont="1" applyFill="1" applyBorder="1" applyAlignment="1">
      <alignment horizontal="center"/>
    </xf>
    <xf numFmtId="164" fontId="0" fillId="7" borderId="12" xfId="0" applyNumberFormat="1" applyFont="1" applyFill="1" applyBorder="1" applyAlignment="1">
      <alignment horizontal="center"/>
    </xf>
    <xf numFmtId="164" fontId="0" fillId="7" borderId="7" xfId="0" applyNumberFormat="1" applyFont="1" applyFill="1" applyBorder="1" applyAlignment="1">
      <alignment horizontal="center"/>
    </xf>
    <xf numFmtId="164" fontId="0" fillId="7" borderId="13" xfId="0" applyNumberFormat="1" applyFont="1" applyFill="1" applyBorder="1" applyAlignment="1">
      <alignment horizontal="center"/>
    </xf>
    <xf numFmtId="9" fontId="2" fillId="2" borderId="12" xfId="0" applyNumberFormat="1" applyFont="1" applyFill="1" applyBorder="1"/>
    <xf numFmtId="4" fontId="0" fillId="7" borderId="45" xfId="0" applyNumberFormat="1" applyFont="1" applyFill="1" applyBorder="1"/>
    <xf numFmtId="8" fontId="0" fillId="3" borderId="7" xfId="0" applyNumberFormat="1" applyFont="1" applyFill="1" applyBorder="1" applyAlignment="1">
      <alignment horizontal="center"/>
    </xf>
    <xf numFmtId="8" fontId="0" fillId="3" borderId="10" xfId="0" applyNumberFormat="1" applyFont="1" applyFill="1" applyBorder="1" applyAlignment="1">
      <alignment horizontal="center"/>
    </xf>
    <xf numFmtId="9" fontId="10" fillId="2" borderId="7" xfId="0" applyNumberFormat="1" applyFont="1" applyFill="1" applyBorder="1" applyAlignment="1">
      <alignment horizontal="right"/>
    </xf>
    <xf numFmtId="4" fontId="0" fillId="7" borderId="37" xfId="0" applyNumberFormat="1" applyFont="1" applyFill="1" applyBorder="1"/>
    <xf numFmtId="0" fontId="0" fillId="0" borderId="4" xfId="0" applyFont="1" applyBorder="1"/>
    <xf numFmtId="0" fontId="10" fillId="0" borderId="0" xfId="0" applyFont="1" applyBorder="1" applyAlignment="1">
      <alignment horizontal="left"/>
    </xf>
    <xf numFmtId="4" fontId="0" fillId="7" borderId="7" xfId="0" applyNumberFormat="1" applyFont="1" applyFill="1" applyBorder="1"/>
    <xf numFmtId="165" fontId="10" fillId="2" borderId="22" xfId="0" applyNumberFormat="1" applyFont="1" applyFill="1" applyBorder="1" applyAlignment="1">
      <alignment horizontal="right"/>
    </xf>
    <xf numFmtId="4" fontId="0" fillId="7" borderId="46" xfId="0" applyNumberFormat="1" applyFont="1" applyFill="1" applyBorder="1"/>
    <xf numFmtId="8" fontId="0" fillId="3" borderId="22" xfId="0" applyNumberFormat="1" applyFont="1" applyFill="1" applyBorder="1" applyAlignment="1">
      <alignment horizontal="center"/>
    </xf>
    <xf numFmtId="8" fontId="0" fillId="3" borderId="25" xfId="0" applyNumberFormat="1" applyFont="1" applyFill="1" applyBorder="1" applyAlignment="1">
      <alignment horizontal="center"/>
    </xf>
    <xf numFmtId="0" fontId="10" fillId="0" borderId="0" xfId="0" applyFont="1" applyAlignment="1">
      <alignment horizontal="center"/>
    </xf>
    <xf numFmtId="0" fontId="0" fillId="5" borderId="47" xfId="0" applyFont="1" applyFill="1" applyBorder="1"/>
    <xf numFmtId="165" fontId="2" fillId="2" borderId="7" xfId="0" applyNumberFormat="1" applyFont="1" applyFill="1" applyBorder="1"/>
    <xf numFmtId="164" fontId="0" fillId="7" borderId="45" xfId="0" applyNumberFormat="1" applyFont="1" applyFill="1" applyBorder="1"/>
    <xf numFmtId="3" fontId="0" fillId="3" borderId="7" xfId="0" applyNumberFormat="1" applyFont="1" applyFill="1" applyBorder="1" applyAlignment="1">
      <alignment horizontal="center"/>
    </xf>
    <xf numFmtId="3" fontId="0" fillId="3" borderId="10" xfId="0" applyNumberFormat="1" applyFont="1" applyFill="1" applyBorder="1" applyAlignment="1">
      <alignment horizontal="center"/>
    </xf>
    <xf numFmtId="164" fontId="0" fillId="7" borderId="37" xfId="0" applyNumberFormat="1" applyFont="1" applyFill="1" applyBorder="1"/>
    <xf numFmtId="164" fontId="0" fillId="7" borderId="7" xfId="0" applyNumberFormat="1" applyFont="1" applyFill="1" applyBorder="1"/>
    <xf numFmtId="164" fontId="0" fillId="7" borderId="46" xfId="0" applyNumberFormat="1" applyFont="1" applyFill="1" applyBorder="1"/>
    <xf numFmtId="3" fontId="0" fillId="3" borderId="22" xfId="0" applyNumberFormat="1" applyFont="1" applyFill="1" applyBorder="1" applyAlignment="1">
      <alignment horizontal="center"/>
    </xf>
    <xf numFmtId="3" fontId="0" fillId="3" borderId="25" xfId="0" applyNumberFormat="1" applyFont="1" applyFill="1" applyBorder="1" applyAlignment="1">
      <alignment horizontal="center"/>
    </xf>
    <xf numFmtId="0" fontId="0" fillId="6" borderId="48" xfId="0" applyFont="1" applyFill="1" applyBorder="1" applyAlignment="1" applyProtection="1">
      <alignment horizontal="center"/>
    </xf>
    <xf numFmtId="0" fontId="2" fillId="0" borderId="0" xfId="0" applyFont="1" applyFill="1" applyBorder="1" applyProtection="1"/>
    <xf numFmtId="0" fontId="0" fillId="0" borderId="0" xfId="0" applyFont="1" applyFill="1" applyProtection="1"/>
    <xf numFmtId="0" fontId="4" fillId="0" borderId="0" xfId="0" applyFont="1" applyFill="1" applyBorder="1" applyAlignment="1" applyProtection="1">
      <alignment horizontal="center" vertical="top" wrapText="1"/>
      <protection locked="0"/>
    </xf>
    <xf numFmtId="164" fontId="2" fillId="6" borderId="7" xfId="0" applyNumberFormat="1" applyFont="1" applyFill="1" applyBorder="1" applyAlignment="1" applyProtection="1">
      <alignment horizontal="center"/>
    </xf>
    <xf numFmtId="0" fontId="0" fillId="6" borderId="7" xfId="0" applyFont="1" applyFill="1" applyBorder="1" applyAlignment="1" applyProtection="1">
      <alignment horizontal="center"/>
    </xf>
    <xf numFmtId="0" fontId="0" fillId="5" borderId="2" xfId="0" applyFont="1" applyFill="1" applyBorder="1" applyProtection="1"/>
    <xf numFmtId="0" fontId="0" fillId="5" borderId="3" xfId="0" applyFont="1" applyFill="1" applyBorder="1" applyProtection="1"/>
    <xf numFmtId="0" fontId="2" fillId="5" borderId="7" xfId="0" applyFont="1" applyFill="1" applyBorder="1" applyAlignment="1" applyProtection="1">
      <alignment horizontal="center"/>
    </xf>
    <xf numFmtId="164" fontId="2" fillId="5" borderId="7" xfId="0" applyNumberFormat="1" applyFont="1" applyFill="1" applyBorder="1" applyAlignment="1" applyProtection="1">
      <alignment horizontal="center"/>
    </xf>
    <xf numFmtId="0" fontId="2" fillId="5" borderId="12" xfId="0" applyFont="1" applyFill="1" applyBorder="1" applyAlignment="1" applyProtection="1">
      <alignment horizontal="center"/>
    </xf>
    <xf numFmtId="164" fontId="2" fillId="5" borderId="12" xfId="0" applyNumberFormat="1" applyFont="1" applyFill="1" applyBorder="1" applyAlignment="1" applyProtection="1">
      <alignment horizontal="center"/>
    </xf>
    <xf numFmtId="0" fontId="0" fillId="5" borderId="42" xfId="0" applyFont="1" applyFill="1" applyBorder="1" applyProtection="1"/>
    <xf numFmtId="0" fontId="0" fillId="5" borderId="44" xfId="0" applyFont="1" applyFill="1" applyBorder="1" applyProtection="1"/>
    <xf numFmtId="0" fontId="2" fillId="5" borderId="1" xfId="0" applyFont="1" applyFill="1" applyBorder="1" applyProtection="1"/>
    <xf numFmtId="0" fontId="0" fillId="0" borderId="6" xfId="0" applyFont="1" applyBorder="1" applyProtection="1"/>
    <xf numFmtId="4" fontId="2" fillId="3" borderId="7" xfId="0" applyNumberFormat="1" applyFont="1" applyFill="1" applyBorder="1" applyAlignment="1" applyProtection="1">
      <alignment horizontal="center"/>
    </xf>
    <xf numFmtId="0" fontId="2" fillId="6" borderId="21" xfId="0" applyFont="1" applyFill="1" applyBorder="1" applyProtection="1"/>
    <xf numFmtId="0" fontId="2" fillId="5" borderId="4" xfId="0" applyFont="1" applyFill="1" applyBorder="1" applyProtection="1"/>
    <xf numFmtId="0" fontId="2" fillId="5" borderId="13" xfId="0" applyFont="1" applyFill="1" applyBorder="1" applyAlignment="1" applyProtection="1">
      <alignment horizontal="center"/>
    </xf>
    <xf numFmtId="0" fontId="2" fillId="0" borderId="6" xfId="0" applyFont="1" applyFill="1" applyBorder="1" applyProtection="1"/>
    <xf numFmtId="0" fontId="0" fillId="0" borderId="6" xfId="0" applyFont="1" applyFill="1" applyBorder="1" applyAlignment="1" applyProtection="1">
      <alignment horizontal="left" indent="2"/>
    </xf>
    <xf numFmtId="0" fontId="0" fillId="0" borderId="6" xfId="0" applyFont="1" applyFill="1" applyBorder="1" applyAlignment="1" applyProtection="1">
      <alignment horizontal="left"/>
    </xf>
    <xf numFmtId="0" fontId="2" fillId="0" borderId="6" xfId="0" applyFont="1" applyFill="1" applyBorder="1" applyAlignment="1" applyProtection="1">
      <alignment horizontal="left"/>
    </xf>
    <xf numFmtId="0" fontId="2" fillId="0" borderId="21" xfId="0" applyFont="1" applyFill="1" applyBorder="1" applyProtection="1"/>
    <xf numFmtId="4" fontId="2" fillId="3" borderId="22" xfId="0" applyNumberFormat="1" applyFont="1" applyFill="1" applyBorder="1" applyAlignment="1" applyProtection="1">
      <alignment horizontal="center"/>
    </xf>
    <xf numFmtId="0" fontId="2" fillId="5" borderId="6" xfId="0" applyFont="1" applyFill="1" applyBorder="1" applyProtection="1"/>
    <xf numFmtId="0" fontId="2" fillId="5" borderId="7" xfId="0" applyFont="1" applyFill="1" applyBorder="1" applyProtection="1"/>
    <xf numFmtId="0" fontId="2" fillId="5" borderId="10" xfId="0" applyFont="1" applyFill="1" applyBorder="1" applyProtection="1"/>
    <xf numFmtId="0" fontId="0" fillId="5" borderId="2" xfId="0" applyFont="1" applyFill="1" applyBorder="1" applyAlignment="1" applyProtection="1">
      <alignment horizontal="center"/>
    </xf>
    <xf numFmtId="164" fontId="0" fillId="5" borderId="2" xfId="0" applyNumberFormat="1" applyFont="1" applyFill="1" applyBorder="1" applyAlignment="1" applyProtection="1">
      <alignment horizontal="center"/>
    </xf>
    <xf numFmtId="0" fontId="0" fillId="5" borderId="3" xfId="0" applyFont="1" applyFill="1" applyBorder="1" applyAlignment="1" applyProtection="1">
      <alignment horizontal="center"/>
    </xf>
    <xf numFmtId="0" fontId="0" fillId="5" borderId="7" xfId="0" applyFont="1" applyFill="1" applyBorder="1" applyAlignment="1" applyProtection="1">
      <alignment horizontal="center"/>
    </xf>
    <xf numFmtId="0" fontId="2" fillId="5" borderId="10" xfId="0" applyFont="1" applyFill="1" applyBorder="1" applyAlignment="1" applyProtection="1">
      <alignment horizontal="center"/>
    </xf>
    <xf numFmtId="0" fontId="0" fillId="6" borderId="6" xfId="0" applyFont="1" applyFill="1" applyBorder="1" applyAlignment="1" applyProtection="1">
      <alignment horizontal="left"/>
    </xf>
    <xf numFmtId="0" fontId="2" fillId="6" borderId="7" xfId="0" applyFont="1" applyFill="1" applyBorder="1" applyAlignment="1" applyProtection="1">
      <alignment horizontal="center"/>
    </xf>
    <xf numFmtId="164" fontId="0" fillId="6" borderId="7" xfId="0" applyNumberFormat="1" applyFont="1" applyFill="1" applyBorder="1" applyAlignment="1" applyProtection="1">
      <alignment horizontal="center"/>
    </xf>
    <xf numFmtId="0" fontId="0" fillId="0" borderId="38" xfId="0" applyFont="1" applyBorder="1" applyAlignment="1" applyProtection="1">
      <alignment horizontal="center"/>
    </xf>
    <xf numFmtId="0" fontId="2" fillId="6" borderId="34" xfId="0" applyFont="1" applyFill="1" applyBorder="1" applyProtection="1"/>
    <xf numFmtId="4" fontId="2" fillId="6" borderId="48" xfId="0" applyNumberFormat="1" applyFont="1" applyFill="1" applyBorder="1" applyAlignment="1" applyProtection="1">
      <alignment horizontal="center"/>
    </xf>
    <xf numFmtId="4" fontId="2" fillId="6" borderId="49" xfId="0" applyNumberFormat="1" applyFont="1" applyFill="1" applyBorder="1" applyAlignment="1" applyProtection="1">
      <alignment horizontal="center"/>
    </xf>
    <xf numFmtId="0" fontId="2" fillId="6" borderId="31" xfId="0" applyFont="1" applyFill="1" applyBorder="1" applyProtection="1"/>
    <xf numFmtId="0" fontId="0" fillId="6" borderId="32" xfId="0" applyFont="1" applyFill="1" applyBorder="1" applyAlignment="1" applyProtection="1">
      <alignment horizontal="center"/>
    </xf>
    <xf numFmtId="4" fontId="2" fillId="6" borderId="32" xfId="0" applyNumberFormat="1" applyFont="1" applyFill="1" applyBorder="1" applyAlignment="1" applyProtection="1">
      <alignment horizontal="center"/>
    </xf>
    <xf numFmtId="4" fontId="2" fillId="6" borderId="33" xfId="0" applyNumberFormat="1" applyFont="1" applyFill="1" applyBorder="1" applyAlignment="1" applyProtection="1">
      <alignment horizontal="center"/>
    </xf>
    <xf numFmtId="0" fontId="6" fillId="5" borderId="24" xfId="0" applyFont="1" applyFill="1" applyBorder="1" applyAlignment="1" applyProtection="1">
      <alignment wrapText="1"/>
    </xf>
    <xf numFmtId="0" fontId="6" fillId="5" borderId="19" xfId="0" applyFont="1" applyFill="1" applyBorder="1" applyAlignment="1" applyProtection="1">
      <alignment horizontal="center" vertical="center" wrapText="1"/>
    </xf>
    <xf numFmtId="0" fontId="6" fillId="5" borderId="24" xfId="0" applyFont="1" applyFill="1" applyBorder="1" applyAlignment="1" applyProtection="1">
      <alignment horizontal="center" vertical="center" wrapText="1"/>
    </xf>
    <xf numFmtId="164" fontId="6" fillId="5" borderId="24" xfId="0" applyNumberFormat="1" applyFont="1" applyFill="1" applyBorder="1" applyAlignment="1" applyProtection="1">
      <alignment horizontal="center" vertical="center" wrapText="1"/>
    </xf>
    <xf numFmtId="0" fontId="6" fillId="5" borderId="24" xfId="0" applyNumberFormat="1" applyFont="1" applyFill="1" applyBorder="1" applyAlignment="1" applyProtection="1">
      <alignment horizontal="center" vertical="center" wrapText="1"/>
    </xf>
    <xf numFmtId="1" fontId="0" fillId="5" borderId="14" xfId="0" applyNumberFormat="1" applyFont="1" applyFill="1" applyBorder="1" applyAlignment="1" applyProtection="1">
      <alignment horizontal="center"/>
    </xf>
    <xf numFmtId="0" fontId="0" fillId="5" borderId="29" xfId="0" applyFont="1" applyFill="1" applyBorder="1" applyAlignment="1" applyProtection="1">
      <alignment horizontal="center"/>
    </xf>
    <xf numFmtId="164" fontId="0" fillId="5" borderId="29" xfId="0" applyNumberFormat="1" applyFont="1" applyFill="1" applyBorder="1" applyAlignment="1" applyProtection="1">
      <alignment horizontal="center"/>
    </xf>
    <xf numFmtId="0" fontId="0" fillId="5" borderId="30" xfId="0" applyNumberFormat="1" applyFont="1" applyFill="1" applyBorder="1" applyAlignment="1" applyProtection="1">
      <alignment horizontal="center"/>
    </xf>
    <xf numFmtId="0" fontId="0" fillId="5" borderId="30" xfId="0" applyFont="1" applyFill="1" applyBorder="1" applyAlignment="1" applyProtection="1">
      <alignment horizontal="center"/>
    </xf>
    <xf numFmtId="0" fontId="0" fillId="5" borderId="14" xfId="0" applyFont="1" applyFill="1" applyBorder="1" applyAlignment="1" applyProtection="1">
      <alignment horizontal="center"/>
    </xf>
    <xf numFmtId="1" fontId="2" fillId="6" borderId="21" xfId="0" applyNumberFormat="1" applyFont="1" applyFill="1" applyBorder="1" applyAlignment="1" applyProtection="1">
      <alignment horizontal="center"/>
    </xf>
    <xf numFmtId="6" fontId="2" fillId="6" borderId="22" xfId="0" applyNumberFormat="1" applyFont="1" applyFill="1" applyBorder="1" applyAlignment="1" applyProtection="1">
      <alignment horizontal="center"/>
    </xf>
    <xf numFmtId="0" fontId="2" fillId="6" borderId="25" xfId="0" applyNumberFormat="1" applyFont="1" applyFill="1" applyBorder="1" applyAlignment="1" applyProtection="1">
      <alignment horizontal="center"/>
    </xf>
    <xf numFmtId="164" fontId="2" fillId="6" borderId="21" xfId="0" applyNumberFormat="1" applyFont="1" applyFill="1" applyBorder="1" applyAlignment="1" applyProtection="1">
      <alignment horizontal="center"/>
    </xf>
    <xf numFmtId="2" fontId="0" fillId="5" borderId="29" xfId="0" applyNumberFormat="1" applyFont="1" applyFill="1" applyBorder="1" applyAlignment="1" applyProtection="1">
      <alignment horizontal="center"/>
    </xf>
    <xf numFmtId="0" fontId="2" fillId="6" borderId="22" xfId="0" applyFont="1" applyFill="1" applyBorder="1" applyAlignment="1" applyProtection="1">
      <alignment horizontal="center"/>
    </xf>
    <xf numFmtId="4" fontId="0" fillId="0" borderId="12" xfId="0" applyNumberFormat="1" applyFont="1" applyFill="1" applyBorder="1" applyAlignment="1" applyProtection="1">
      <alignment horizontal="center"/>
    </xf>
    <xf numFmtId="4" fontId="0" fillId="3" borderId="12" xfId="0" applyNumberFormat="1" applyFont="1" applyFill="1" applyBorder="1" applyAlignment="1" applyProtection="1">
      <alignment horizontal="center"/>
    </xf>
    <xf numFmtId="164" fontId="0" fillId="3" borderId="9" xfId="0" applyNumberFormat="1" applyFont="1" applyFill="1" applyBorder="1" applyAlignment="1" applyProtection="1">
      <alignment horizontal="center"/>
    </xf>
    <xf numFmtId="0" fontId="2" fillId="5" borderId="50" xfId="0" applyFont="1" applyFill="1" applyBorder="1" applyProtection="1"/>
    <xf numFmtId="1" fontId="0" fillId="2" borderId="9" xfId="0" applyNumberFormat="1" applyFont="1" applyFill="1" applyBorder="1" applyAlignment="1" applyProtection="1">
      <alignment horizontal="center"/>
    </xf>
    <xf numFmtId="4" fontId="0" fillId="2" borderId="12" xfId="0" applyNumberFormat="1" applyFont="1" applyFill="1" applyBorder="1" applyAlignment="1" applyProtection="1">
      <alignment horizontal="center"/>
    </xf>
    <xf numFmtId="1" fontId="0" fillId="2" borderId="13" xfId="0" applyNumberFormat="1" applyFont="1" applyFill="1" applyBorder="1" applyAlignment="1" applyProtection="1">
      <alignment horizontal="center"/>
    </xf>
    <xf numFmtId="164" fontId="0" fillId="2" borderId="13" xfId="0" applyNumberFormat="1" applyFont="1" applyFill="1" applyBorder="1" applyAlignment="1" applyProtection="1">
      <alignment horizontal="center"/>
    </xf>
    <xf numFmtId="164" fontId="0" fillId="3" borderId="11" xfId="0" applyNumberFormat="1" applyFont="1" applyFill="1" applyBorder="1" applyAlignment="1" applyProtection="1">
      <alignment horizontal="center"/>
    </xf>
    <xf numFmtId="164" fontId="0" fillId="3" borderId="39" xfId="0" applyNumberFormat="1" applyFont="1" applyFill="1" applyBorder="1" applyAlignment="1" applyProtection="1">
      <alignment horizontal="center"/>
    </xf>
    <xf numFmtId="0" fontId="2" fillId="6" borderId="51" xfId="0" applyFont="1" applyFill="1" applyBorder="1" applyProtection="1"/>
    <xf numFmtId="0" fontId="2" fillId="6" borderId="52" xfId="0" applyFont="1" applyFill="1" applyBorder="1" applyProtection="1"/>
    <xf numFmtId="0" fontId="2" fillId="0" borderId="0" xfId="0" applyFont="1" applyBorder="1" applyProtection="1"/>
    <xf numFmtId="0" fontId="2" fillId="0" borderId="28" xfId="0" applyFont="1" applyFill="1" applyBorder="1" applyProtection="1"/>
    <xf numFmtId="164" fontId="0" fillId="5" borderId="40" xfId="0" applyNumberFormat="1" applyFont="1" applyFill="1" applyBorder="1" applyAlignment="1" applyProtection="1">
      <alignment horizontal="center"/>
    </xf>
    <xf numFmtId="4" fontId="0" fillId="2" borderId="53" xfId="0" applyNumberFormat="1" applyFont="1" applyFill="1" applyBorder="1" applyAlignment="1" applyProtection="1">
      <alignment horizontal="center"/>
    </xf>
    <xf numFmtId="4" fontId="0" fillId="2" borderId="54" xfId="0" applyNumberFormat="1" applyFont="1" applyFill="1" applyBorder="1" applyAlignment="1" applyProtection="1">
      <alignment horizontal="center"/>
    </xf>
    <xf numFmtId="164" fontId="0" fillId="4" borderId="40" xfId="0" applyNumberFormat="1" applyFont="1" applyFill="1" applyBorder="1" applyAlignment="1" applyProtection="1">
      <alignment horizontal="center"/>
    </xf>
    <xf numFmtId="4" fontId="0" fillId="2" borderId="56" xfId="0" applyNumberFormat="1" applyFont="1" applyFill="1" applyBorder="1" applyAlignment="1" applyProtection="1">
      <alignment horizontal="center"/>
    </xf>
    <xf numFmtId="164" fontId="2" fillId="6" borderId="55" xfId="0" applyNumberFormat="1" applyFont="1" applyFill="1" applyBorder="1" applyAlignment="1" applyProtection="1">
      <alignment horizontal="center"/>
    </xf>
    <xf numFmtId="4" fontId="0" fillId="0" borderId="53" xfId="0" applyNumberFormat="1" applyFont="1" applyFill="1" applyBorder="1" applyAlignment="1" applyProtection="1">
      <alignment horizontal="center"/>
    </xf>
    <xf numFmtId="4" fontId="0" fillId="0" borderId="54" xfId="0" applyNumberFormat="1" applyFont="1" applyFill="1" applyBorder="1" applyAlignment="1" applyProtection="1">
      <alignment horizontal="center"/>
    </xf>
    <xf numFmtId="164" fontId="6" fillId="5" borderId="28" xfId="0" applyNumberFormat="1" applyFont="1" applyFill="1" applyBorder="1" applyAlignment="1" applyProtection="1">
      <alignment horizontal="center" vertical="center" wrapText="1"/>
    </xf>
    <xf numFmtId="0" fontId="0" fillId="2" borderId="12" xfId="0" applyFont="1" applyFill="1" applyBorder="1" applyAlignment="1" applyProtection="1">
      <alignment horizontal="center"/>
    </xf>
    <xf numFmtId="4" fontId="0" fillId="3" borderId="53" xfId="0" applyNumberFormat="1" applyFont="1" applyFill="1" applyBorder="1" applyAlignment="1" applyProtection="1">
      <alignment horizontal="center"/>
    </xf>
    <xf numFmtId="4" fontId="0" fillId="3" borderId="54" xfId="0" applyNumberFormat="1" applyFont="1" applyFill="1" applyBorder="1" applyAlignment="1" applyProtection="1">
      <alignment horizontal="center"/>
    </xf>
    <xf numFmtId="0" fontId="0" fillId="2" borderId="13" xfId="0" applyNumberFormat="1" applyFont="1" applyFill="1" applyBorder="1" applyAlignment="1" applyProtection="1">
      <alignment horizontal="center"/>
    </xf>
    <xf numFmtId="0" fontId="0" fillId="2" borderId="13" xfId="0" applyFont="1" applyFill="1" applyBorder="1" applyAlignment="1" applyProtection="1">
      <alignment horizontal="center"/>
    </xf>
    <xf numFmtId="10" fontId="2" fillId="2" borderId="0" xfId="0" applyNumberFormat="1" applyFont="1" applyFill="1" applyBorder="1" applyAlignment="1" applyProtection="1">
      <alignment horizontal="right"/>
    </xf>
    <xf numFmtId="0" fontId="2" fillId="0" borderId="18" xfId="0" applyFont="1" applyBorder="1" applyProtection="1"/>
    <xf numFmtId="0" fontId="2" fillId="0" borderId="24" xfId="0" applyFont="1" applyBorder="1" applyProtection="1"/>
    <xf numFmtId="164" fontId="2" fillId="5" borderId="54" xfId="0" applyNumberFormat="1" applyFont="1" applyFill="1" applyBorder="1" applyAlignment="1" applyProtection="1">
      <alignment horizontal="center"/>
    </xf>
    <xf numFmtId="164" fontId="0" fillId="3" borderId="54" xfId="0" applyNumberFormat="1" applyFont="1" applyFill="1" applyBorder="1" applyAlignment="1" applyProtection="1">
      <alignment horizontal="center"/>
    </xf>
    <xf numFmtId="164" fontId="2" fillId="5" borderId="53" xfId="0" applyNumberFormat="1" applyFont="1" applyFill="1" applyBorder="1" applyAlignment="1" applyProtection="1">
      <alignment horizontal="center"/>
    </xf>
    <xf numFmtId="164" fontId="0" fillId="0" borderId="54" xfId="0" applyNumberFormat="1" applyFont="1" applyBorder="1" applyAlignment="1" applyProtection="1">
      <alignment horizontal="center"/>
    </xf>
    <xf numFmtId="164" fontId="0" fillId="0" borderId="54" xfId="0" applyNumberFormat="1" applyFont="1" applyFill="1" applyBorder="1" applyAlignment="1" applyProtection="1">
      <alignment horizontal="center"/>
    </xf>
    <xf numFmtId="4" fontId="0" fillId="2" borderId="10" xfId="0" applyNumberFormat="1" applyFont="1" applyFill="1" applyBorder="1" applyAlignment="1" applyProtection="1">
      <alignment horizontal="center"/>
    </xf>
    <xf numFmtId="4" fontId="0" fillId="2" borderId="39" xfId="0" applyNumberFormat="1" applyFont="1" applyFill="1" applyBorder="1" applyAlignment="1" applyProtection="1">
      <alignment horizontal="center"/>
    </xf>
    <xf numFmtId="0" fontId="0" fillId="6" borderId="6" xfId="0" applyFont="1" applyFill="1" applyBorder="1" applyAlignment="1" applyProtection="1"/>
    <xf numFmtId="1" fontId="2" fillId="0" borderId="8" xfId="0" applyNumberFormat="1" applyFont="1" applyFill="1" applyBorder="1" applyAlignment="1" applyProtection="1">
      <alignment horizontal="center"/>
    </xf>
    <xf numFmtId="6" fontId="2" fillId="0" borderId="57" xfId="0" applyNumberFormat="1" applyFont="1" applyFill="1" applyBorder="1" applyAlignment="1" applyProtection="1">
      <alignment horizontal="center"/>
    </xf>
    <xf numFmtId="164" fontId="2" fillId="0" borderId="57" xfId="0" applyNumberFormat="1" applyFont="1" applyFill="1" applyBorder="1" applyAlignment="1" applyProtection="1">
      <alignment horizontal="center"/>
    </xf>
    <xf numFmtId="164" fontId="2" fillId="0" borderId="58" xfId="0" applyNumberFormat="1" applyFont="1" applyFill="1" applyBorder="1" applyAlignment="1" applyProtection="1">
      <alignment horizontal="center"/>
    </xf>
    <xf numFmtId="0" fontId="2" fillId="0" borderId="59" xfId="0" applyNumberFormat="1" applyFont="1" applyFill="1" applyBorder="1" applyAlignment="1" applyProtection="1">
      <alignment horizontal="center"/>
    </xf>
    <xf numFmtId="164" fontId="2" fillId="0" borderId="59" xfId="0" applyNumberFormat="1" applyFont="1" applyFill="1" applyBorder="1" applyAlignment="1" applyProtection="1">
      <alignment horizontal="center"/>
    </xf>
    <xf numFmtId="164" fontId="2" fillId="0" borderId="8" xfId="0" applyNumberFormat="1" applyFont="1" applyFill="1" applyBorder="1" applyAlignment="1" applyProtection="1">
      <alignment horizontal="center"/>
    </xf>
    <xf numFmtId="0" fontId="2" fillId="6" borderId="26" xfId="0" applyFont="1" applyFill="1" applyBorder="1" applyProtection="1"/>
    <xf numFmtId="0" fontId="2" fillId="6" borderId="16" xfId="0" applyFont="1" applyFill="1" applyBorder="1" applyProtection="1"/>
    <xf numFmtId="0" fontId="0" fillId="0" borderId="6" xfId="0" applyFont="1" applyFill="1" applyBorder="1" applyAlignment="1" applyProtection="1"/>
    <xf numFmtId="0" fontId="0" fillId="0" borderId="6" xfId="0" applyFont="1" applyBorder="1" applyAlignment="1" applyProtection="1"/>
    <xf numFmtId="0" fontId="0" fillId="0" borderId="11" xfId="0" applyFont="1" applyBorder="1" applyProtection="1"/>
    <xf numFmtId="4" fontId="0" fillId="6" borderId="22" xfId="0" applyNumberFormat="1" applyFont="1" applyFill="1" applyBorder="1" applyAlignment="1" applyProtection="1">
      <alignment horizontal="center"/>
    </xf>
    <xf numFmtId="4" fontId="2" fillId="6" borderId="22" xfId="0" applyNumberFormat="1" applyFont="1" applyFill="1" applyBorder="1" applyAlignment="1" applyProtection="1">
      <alignment horizontal="center"/>
    </xf>
    <xf numFmtId="4" fontId="2" fillId="6" borderId="25" xfId="0" applyNumberFormat="1" applyFont="1" applyFill="1" applyBorder="1" applyAlignment="1" applyProtection="1">
      <alignment horizontal="center"/>
    </xf>
    <xf numFmtId="4" fontId="2" fillId="6" borderId="7" xfId="0" applyNumberFormat="1" applyFont="1" applyFill="1" applyBorder="1" applyAlignment="1" applyProtection="1">
      <alignment horizontal="center"/>
    </xf>
    <xf numFmtId="4" fontId="0" fillId="6" borderId="7" xfId="0" applyNumberFormat="1" applyFont="1" applyFill="1" applyBorder="1" applyAlignment="1" applyProtection="1">
      <alignment horizontal="center"/>
    </xf>
    <xf numFmtId="4" fontId="0" fillId="0" borderId="7" xfId="0" applyNumberFormat="1" applyFont="1" applyBorder="1" applyAlignment="1" applyProtection="1">
      <alignment horizontal="center"/>
    </xf>
    <xf numFmtId="4" fontId="2" fillId="3" borderId="54" xfId="0" applyNumberFormat="1" applyFont="1" applyFill="1" applyBorder="1" applyAlignment="1" applyProtection="1">
      <alignment horizontal="center"/>
    </xf>
    <xf numFmtId="4" fontId="2" fillId="2" borderId="10" xfId="0" applyNumberFormat="1" applyFont="1" applyFill="1" applyBorder="1" applyAlignment="1" applyProtection="1">
      <alignment horizontal="center"/>
    </xf>
    <xf numFmtId="4" fontId="0" fillId="0" borderId="38" xfId="0" applyNumberFormat="1" applyFont="1" applyBorder="1" applyAlignment="1" applyProtection="1">
      <alignment horizontal="center"/>
    </xf>
    <xf numFmtId="4" fontId="0" fillId="6" borderId="32" xfId="0" applyNumberFormat="1" applyFont="1" applyFill="1" applyBorder="1" applyAlignment="1" applyProtection="1">
      <alignment horizontal="center"/>
    </xf>
    <xf numFmtId="4" fontId="0" fillId="6" borderId="48" xfId="0" applyNumberFormat="1" applyFont="1" applyFill="1" applyBorder="1" applyAlignment="1" applyProtection="1">
      <alignment horizontal="center"/>
    </xf>
    <xf numFmtId="4" fontId="0" fillId="0" borderId="22" xfId="0" applyNumberFormat="1" applyFont="1" applyFill="1" applyBorder="1" applyAlignment="1" applyProtection="1">
      <alignment horizontal="center"/>
    </xf>
    <xf numFmtId="10" fontId="0" fillId="2" borderId="7" xfId="0" applyNumberFormat="1" applyFont="1" applyFill="1" applyBorder="1" applyAlignment="1" applyProtection="1">
      <alignment horizontal="center"/>
    </xf>
    <xf numFmtId="0" fontId="6" fillId="0" borderId="0" xfId="0" applyFont="1" applyAlignment="1">
      <alignment horizontal="left" vertical="center"/>
    </xf>
    <xf numFmtId="0" fontId="0" fillId="0" borderId="0" xfId="0" applyAlignment="1">
      <alignment wrapText="1"/>
    </xf>
    <xf numFmtId="0" fontId="3" fillId="5" borderId="18" xfId="0" quotePrefix="1" applyFont="1" applyFill="1" applyBorder="1" applyAlignment="1">
      <alignment horizontal="center"/>
    </xf>
    <xf numFmtId="0" fontId="3" fillId="5" borderId="19" xfId="0" quotePrefix="1" applyFont="1" applyFill="1" applyBorder="1" applyAlignment="1">
      <alignment horizontal="center"/>
    </xf>
    <xf numFmtId="0" fontId="3" fillId="5" borderId="20" xfId="0" quotePrefix="1" applyFont="1" applyFill="1" applyBorder="1" applyAlignment="1">
      <alignment horizontal="center"/>
    </xf>
    <xf numFmtId="0" fontId="7" fillId="5" borderId="18" xfId="0" applyFont="1" applyFill="1" applyBorder="1" applyAlignment="1" applyProtection="1">
      <alignment horizontal="center" wrapText="1"/>
      <protection locked="0"/>
    </xf>
    <xf numFmtId="0" fontId="7" fillId="5" borderId="19" xfId="0" applyFont="1" applyFill="1" applyBorder="1" applyAlignment="1" applyProtection="1">
      <alignment horizontal="center" wrapText="1"/>
      <protection locked="0"/>
    </xf>
    <xf numFmtId="0" fontId="7" fillId="5" borderId="20" xfId="0" applyFont="1" applyFill="1" applyBorder="1" applyAlignment="1" applyProtection="1">
      <alignment horizontal="center" wrapText="1"/>
      <protection locked="0"/>
    </xf>
    <xf numFmtId="0" fontId="9" fillId="5" borderId="18" xfId="0" applyFont="1" applyFill="1" applyBorder="1" applyAlignment="1" applyProtection="1">
      <alignment horizontal="center" vertical="center" wrapText="1"/>
      <protection locked="0"/>
    </xf>
    <xf numFmtId="0" fontId="9" fillId="5" borderId="19" xfId="0" applyFont="1" applyFill="1" applyBorder="1" applyAlignment="1" applyProtection="1">
      <alignment horizontal="center" vertical="center" wrapText="1"/>
      <protection locked="0"/>
    </xf>
    <xf numFmtId="0" fontId="9" fillId="5" borderId="20" xfId="0" applyFont="1" applyFill="1" applyBorder="1" applyAlignment="1" applyProtection="1">
      <alignment horizontal="center" vertical="center" wrapText="1"/>
      <protection locked="0"/>
    </xf>
    <xf numFmtId="0" fontId="2" fillId="0" borderId="0" xfId="0" applyFont="1" applyBorder="1" applyProtection="1"/>
    <xf numFmtId="0" fontId="3" fillId="5" borderId="19" xfId="0" applyFont="1" applyFill="1" applyBorder="1" applyAlignment="1">
      <alignment horizontal="center"/>
    </xf>
    <xf numFmtId="0" fontId="3" fillId="5" borderId="20" xfId="0" applyFont="1" applyFill="1" applyBorder="1" applyAlignment="1">
      <alignment horizontal="center"/>
    </xf>
    <xf numFmtId="0" fontId="4" fillId="5" borderId="18" xfId="0" applyFont="1" applyFill="1" applyBorder="1" applyAlignment="1" applyProtection="1">
      <alignment horizontal="center" vertical="top" wrapText="1"/>
      <protection locked="0"/>
    </xf>
    <xf numFmtId="0" fontId="4" fillId="5" borderId="19" xfId="0" applyFont="1" applyFill="1" applyBorder="1" applyAlignment="1" applyProtection="1">
      <alignment horizontal="center" vertical="top" wrapText="1"/>
      <protection locked="0"/>
    </xf>
    <xf numFmtId="0" fontId="4" fillId="5" borderId="20" xfId="0" applyFont="1" applyFill="1" applyBorder="1" applyAlignment="1" applyProtection="1">
      <alignment horizontal="center" vertical="top" wrapText="1"/>
      <protection locked="0"/>
    </xf>
    <xf numFmtId="0" fontId="2" fillId="5" borderId="1" xfId="0" applyFont="1" applyFill="1" applyBorder="1" applyProtection="1"/>
    <xf numFmtId="0" fontId="2" fillId="5" borderId="2" xfId="0" applyFont="1" applyFill="1" applyBorder="1" applyProtection="1"/>
    <xf numFmtId="0" fontId="2" fillId="5" borderId="3" xfId="0" applyFont="1" applyFill="1" applyBorder="1" applyProtection="1"/>
    <xf numFmtId="0" fontId="3" fillId="5" borderId="18" xfId="0" applyFont="1" applyFill="1" applyBorder="1" applyAlignment="1" applyProtection="1">
      <alignment horizontal="center" wrapText="1"/>
      <protection locked="0"/>
    </xf>
    <xf numFmtId="0" fontId="3" fillId="5" borderId="19" xfId="0" applyFont="1" applyFill="1" applyBorder="1" applyAlignment="1" applyProtection="1">
      <alignment horizontal="center" wrapText="1"/>
      <protection locked="0"/>
    </xf>
    <xf numFmtId="0" fontId="3" fillId="5" borderId="20" xfId="0" applyFont="1" applyFill="1" applyBorder="1" applyAlignment="1" applyProtection="1">
      <alignment horizontal="center" wrapText="1"/>
      <protection locked="0"/>
    </xf>
    <xf numFmtId="0" fontId="6" fillId="5" borderId="18" xfId="0" applyFont="1" applyFill="1" applyBorder="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8" fillId="5" borderId="15" xfId="0" applyFont="1" applyFill="1" applyBorder="1" applyAlignment="1">
      <alignment horizontal="center"/>
    </xf>
    <xf numFmtId="0" fontId="8" fillId="5" borderId="16" xfId="0" applyFont="1" applyFill="1" applyBorder="1" applyAlignment="1">
      <alignment horizontal="center"/>
    </xf>
    <xf numFmtId="0" fontId="8" fillId="5" borderId="17" xfId="0" applyFont="1" applyFill="1" applyBorder="1" applyAlignment="1">
      <alignment horizontal="center"/>
    </xf>
    <xf numFmtId="0" fontId="5" fillId="5" borderId="40" xfId="0" applyFont="1" applyFill="1" applyBorder="1" applyAlignment="1">
      <alignment horizontal="center"/>
    </xf>
    <xf numFmtId="0" fontId="5" fillId="5" borderId="42" xfId="0" applyFont="1" applyFill="1" applyBorder="1" applyAlignment="1">
      <alignment horizontal="center"/>
    </xf>
    <xf numFmtId="0" fontId="5" fillId="5" borderId="43" xfId="0" applyFont="1" applyFill="1" applyBorder="1" applyAlignment="1">
      <alignment horizontal="center"/>
    </xf>
    <xf numFmtId="0" fontId="5" fillId="5" borderId="44" xfId="0" applyFont="1" applyFill="1" applyBorder="1" applyAlignment="1">
      <alignment horizontal="center"/>
    </xf>
    <xf numFmtId="0" fontId="0" fillId="8" borderId="11" xfId="0" applyFont="1" applyFill="1" applyBorder="1" applyAlignment="1">
      <alignment horizontal="center" textRotation="90"/>
    </xf>
    <xf numFmtId="0" fontId="0" fillId="8" borderId="8" xfId="0" applyFont="1" applyFill="1" applyBorder="1" applyAlignment="1">
      <alignment horizontal="center" textRotation="90"/>
    </xf>
    <xf numFmtId="0" fontId="0" fillId="8" borderId="9" xfId="0" applyFont="1" applyFill="1" applyBorder="1" applyAlignment="1">
      <alignment horizontal="center" textRotation="90"/>
    </xf>
    <xf numFmtId="0" fontId="0" fillId="8" borderId="34" xfId="0" applyFont="1" applyFill="1" applyBorder="1" applyAlignment="1">
      <alignment horizontal="center" textRotation="90"/>
    </xf>
    <xf numFmtId="0" fontId="0" fillId="8" borderId="11" xfId="0" applyFont="1" applyFill="1" applyBorder="1" applyAlignment="1">
      <alignment horizontal="center" textRotation="90" wrapText="1"/>
    </xf>
    <xf numFmtId="0" fontId="0" fillId="8" borderId="8" xfId="0" applyFont="1" applyFill="1" applyBorder="1" applyAlignment="1">
      <alignment horizontal="center" textRotation="90" wrapText="1"/>
    </xf>
    <xf numFmtId="0" fontId="0" fillId="8" borderId="9" xfId="0" applyFont="1" applyFill="1" applyBorder="1" applyAlignment="1">
      <alignment horizontal="center" textRotation="90" wrapText="1"/>
    </xf>
  </cellXfs>
  <cellStyles count="2">
    <cellStyle name="Normal" xfId="0" builtinId="0"/>
    <cellStyle name="Percent" xfId="1" builtinId="5"/>
  </cellStyles>
  <dxfs count="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6600824</xdr:colOff>
      <xdr:row>45</xdr:row>
      <xdr:rowOff>155574</xdr:rowOff>
    </xdr:from>
    <xdr:to>
      <xdr:col>1</xdr:col>
      <xdr:colOff>581025</xdr:colOff>
      <xdr:row>48</xdr:row>
      <xdr:rowOff>95249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0824" y="9880599"/>
          <a:ext cx="1419226" cy="511175"/>
        </a:xfrm>
        <a:prstGeom prst="rect">
          <a:avLst/>
        </a:prstGeom>
      </xdr:spPr>
    </xdr:pic>
    <xdr:clientData/>
  </xdr:twoCellAnchor>
  <xdr:twoCellAnchor editAs="oneCell">
    <xdr:from>
      <xdr:col>0</xdr:col>
      <xdr:colOff>0</xdr:colOff>
      <xdr:row>14</xdr:row>
      <xdr:rowOff>123825</xdr:rowOff>
    </xdr:from>
    <xdr:to>
      <xdr:col>1</xdr:col>
      <xdr:colOff>56214</xdr:colOff>
      <xdr:row>36</xdr:row>
      <xdr:rowOff>37587</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2790825"/>
          <a:ext cx="7495239" cy="4104762"/>
        </a:xfrm>
        <a:prstGeom prst="rect">
          <a:avLst/>
        </a:prstGeom>
      </xdr:spPr>
    </xdr:pic>
    <xdr:clientData/>
  </xdr:twoCellAnchor>
  <xdr:twoCellAnchor>
    <xdr:from>
      <xdr:col>0</xdr:col>
      <xdr:colOff>0</xdr:colOff>
      <xdr:row>0</xdr:row>
      <xdr:rowOff>0</xdr:rowOff>
    </xdr:from>
    <xdr:to>
      <xdr:col>1</xdr:col>
      <xdr:colOff>9525</xdr:colOff>
      <xdr:row>13</xdr:row>
      <xdr:rowOff>161925</xdr:rowOff>
    </xdr:to>
    <xdr:grpSp>
      <xdr:nvGrpSpPr>
        <xdr:cNvPr id="4" name="Group 3"/>
        <xdr:cNvGrpSpPr/>
      </xdr:nvGrpSpPr>
      <xdr:grpSpPr>
        <a:xfrm>
          <a:off x="0" y="0"/>
          <a:ext cx="7448550" cy="2638425"/>
          <a:chOff x="0" y="0"/>
          <a:chExt cx="6726884" cy="2331085"/>
        </a:xfrm>
      </xdr:grpSpPr>
      <xdr:grpSp>
        <xdr:nvGrpSpPr>
          <xdr:cNvPr id="5" name="Group 4"/>
          <xdr:cNvGrpSpPr/>
        </xdr:nvGrpSpPr>
        <xdr:grpSpPr>
          <a:xfrm>
            <a:off x="7315" y="0"/>
            <a:ext cx="6719569" cy="2331085"/>
            <a:chOff x="16778" y="0"/>
            <a:chExt cx="6291728" cy="2331697"/>
          </a:xfrm>
        </xdr:grpSpPr>
        <xdr:sp macro="" textlink="">
          <xdr:nvSpPr>
            <xdr:cNvPr id="7" name="Rectangle 6"/>
            <xdr:cNvSpPr/>
          </xdr:nvSpPr>
          <xdr:spPr>
            <a:xfrm>
              <a:off x="16778" y="0"/>
              <a:ext cx="6275306" cy="1191895"/>
            </a:xfrm>
            <a:prstGeom prst="rect">
              <a:avLst/>
            </a:prstGeom>
            <a:solidFill>
              <a:schemeClr val="accent2">
                <a:lumMod val="60000"/>
                <a:lumOff val="40000"/>
              </a:schemeClr>
            </a:solidFill>
            <a:ln>
              <a:solidFill>
                <a:schemeClr val="accent2">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 name="Rectangle 7"/>
            <xdr:cNvSpPr/>
          </xdr:nvSpPr>
          <xdr:spPr>
            <a:xfrm>
              <a:off x="16778" y="1191237"/>
              <a:ext cx="6280150" cy="1140460"/>
            </a:xfrm>
            <a:prstGeom prst="rect">
              <a:avLst/>
            </a:prstGeom>
            <a:solidFill>
              <a:schemeClr val="bg1"/>
            </a:solidFill>
            <a:ln w="1905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 name="Text Box 2"/>
            <xdr:cNvSpPr txBox="1">
              <a:spLocks noChangeArrowheads="1"/>
            </xdr:cNvSpPr>
          </xdr:nvSpPr>
          <xdr:spPr bwMode="auto">
            <a:xfrm>
              <a:off x="2139193" y="0"/>
              <a:ext cx="4169313" cy="1193800"/>
            </a:xfrm>
            <a:prstGeom prst="rect">
              <a:avLst/>
            </a:prstGeom>
            <a:noFill/>
            <a:ln w="9525">
              <a:noFill/>
              <a:miter lim="800000"/>
              <a:headEnd/>
              <a:tailEnd/>
            </a:ln>
          </xdr:spPr>
          <xdr:txBody>
            <a:bodyPr rot="0" vert="horz" wrap="square" lIns="91440" tIns="45720" rIns="91440" bIns="45720" anchor="ctr" anchorCtr="0">
              <a:noAutofit/>
            </a:bodyPr>
            <a:lstStyle/>
            <a:p>
              <a:pPr marL="0" marR="0" algn="r">
                <a:lnSpc>
                  <a:spcPct val="115000"/>
                </a:lnSpc>
                <a:spcBef>
                  <a:spcPts val="0"/>
                </a:spcBef>
                <a:spcAft>
                  <a:spcPts val="0"/>
                </a:spcAft>
                <a:tabLst>
                  <a:tab pos="2114550" algn="l"/>
                </a:tabLst>
              </a:pPr>
              <a:r>
                <a:rPr lang="en-US" sz="2000">
                  <a:effectLst/>
                  <a:latin typeface="Calibri"/>
                  <a:ea typeface="Calibri"/>
                  <a:cs typeface="Times New Roman"/>
                </a:rPr>
                <a:t>Southwest British Columbia</a:t>
              </a:r>
              <a:r>
                <a:rPr lang="en-US" sz="2000" b="1">
                  <a:effectLst/>
                  <a:latin typeface="Calibri"/>
                  <a:ea typeface="Calibri"/>
                  <a:cs typeface="Times New Roman"/>
                </a:rPr>
                <a:t> </a:t>
              </a:r>
              <a:endParaRPr lang="en-US" sz="1100">
                <a:effectLst/>
                <a:latin typeface="Calibri"/>
                <a:ea typeface="Calibri"/>
                <a:cs typeface="Times New Roman"/>
              </a:endParaRPr>
            </a:p>
            <a:p>
              <a:pPr marL="0" marR="0" algn="r">
                <a:lnSpc>
                  <a:spcPct val="115000"/>
                </a:lnSpc>
                <a:spcBef>
                  <a:spcPts val="0"/>
                </a:spcBef>
                <a:spcAft>
                  <a:spcPts val="0"/>
                </a:spcAft>
                <a:tabLst>
                  <a:tab pos="2114550" algn="l"/>
                </a:tabLst>
              </a:pPr>
              <a:r>
                <a:rPr lang="en-US" sz="2000">
                  <a:effectLst/>
                  <a:latin typeface="Calibri"/>
                  <a:ea typeface="Calibri"/>
                  <a:cs typeface="Times New Roman"/>
                </a:rPr>
                <a:t>Small-Scale Farm Enterprise Budget: </a:t>
              </a:r>
              <a:endParaRPr lang="en-US" sz="1100">
                <a:effectLst/>
                <a:latin typeface="Calibri"/>
                <a:ea typeface="Calibri"/>
                <a:cs typeface="Times New Roman"/>
              </a:endParaRPr>
            </a:p>
            <a:p>
              <a:pPr marL="0" marR="0" algn="r">
                <a:lnSpc>
                  <a:spcPct val="115000"/>
                </a:lnSpc>
                <a:spcBef>
                  <a:spcPts val="0"/>
                </a:spcBef>
                <a:spcAft>
                  <a:spcPts val="1000"/>
                </a:spcAft>
                <a:tabLst>
                  <a:tab pos="2114550" algn="l"/>
                </a:tabLst>
              </a:pPr>
              <a:r>
                <a:rPr lang="en-US" sz="2400" b="1">
                  <a:effectLst/>
                  <a:latin typeface="Calibri"/>
                  <a:ea typeface="Calibri"/>
                  <a:cs typeface="Times New Roman"/>
                </a:rPr>
                <a:t>Honey Bee </a:t>
              </a:r>
              <a:endParaRPr lang="en-US" sz="1100">
                <a:effectLst/>
                <a:latin typeface="Calibri"/>
                <a:ea typeface="Calibri"/>
                <a:cs typeface="Times New Roman"/>
              </a:endParaRPr>
            </a:p>
          </xdr:txBody>
        </xdr:sp>
        <xdr:sp macro="" textlink="">
          <xdr:nvSpPr>
            <xdr:cNvPr id="10" name="Text Box 2"/>
            <xdr:cNvSpPr txBox="1">
              <a:spLocks noChangeArrowheads="1"/>
            </xdr:cNvSpPr>
          </xdr:nvSpPr>
          <xdr:spPr bwMode="auto">
            <a:xfrm>
              <a:off x="2583809" y="1191237"/>
              <a:ext cx="3712210" cy="1140460"/>
            </a:xfrm>
            <a:prstGeom prst="rect">
              <a:avLst/>
            </a:prstGeom>
            <a:noFill/>
            <a:ln w="9525">
              <a:noFill/>
              <a:miter lim="800000"/>
              <a:headEnd/>
              <a:tailEnd/>
            </a:ln>
          </xdr:spPr>
          <xdr:txBody>
            <a:bodyPr rot="0" vert="horz" wrap="square" lIns="91440" tIns="45720" rIns="91440" bIns="45720" anchor="ctr" anchorCtr="0">
              <a:noAutofit/>
            </a:bodyPr>
            <a:lstStyle/>
            <a:p>
              <a:pPr marL="0" marR="0" algn="r">
                <a:lnSpc>
                  <a:spcPct val="115000"/>
                </a:lnSpc>
                <a:spcBef>
                  <a:spcPts val="0"/>
                </a:spcBef>
                <a:spcAft>
                  <a:spcPts val="0"/>
                </a:spcAft>
              </a:pPr>
              <a:r>
                <a:rPr lang="en-US" sz="1600">
                  <a:effectLst/>
                  <a:latin typeface="Calibri"/>
                  <a:ea typeface="Calibri"/>
                  <a:cs typeface="Times New Roman"/>
                </a:rPr>
                <a:t>February 2015</a:t>
              </a:r>
              <a:endParaRPr lang="en-US" sz="1100">
                <a:effectLst/>
                <a:latin typeface="Calibri"/>
                <a:ea typeface="Calibri"/>
                <a:cs typeface="Times New Roman"/>
              </a:endParaRPr>
            </a:p>
            <a:p>
              <a:pPr marL="0" marR="0" algn="r">
                <a:lnSpc>
                  <a:spcPct val="115000"/>
                </a:lnSpc>
                <a:spcBef>
                  <a:spcPts val="0"/>
                </a:spcBef>
                <a:spcAft>
                  <a:spcPts val="0"/>
                </a:spcAft>
              </a:pPr>
              <a:r>
                <a:rPr lang="en-US" sz="1600">
                  <a:effectLst/>
                  <a:latin typeface="Calibri"/>
                  <a:ea typeface="Calibri"/>
                  <a:cs typeface="Times New Roman"/>
                </a:rPr>
                <a:t>kpu.ca/isfs</a:t>
              </a:r>
              <a:endParaRPr lang="en-US" sz="1100">
                <a:effectLst/>
                <a:latin typeface="Calibri"/>
                <a:ea typeface="Calibri"/>
                <a:cs typeface="Times New Roman"/>
              </a:endParaRPr>
            </a:p>
          </xdr:txBody>
        </xdr:sp>
        <xdr:grpSp>
          <xdr:nvGrpSpPr>
            <xdr:cNvPr id="11" name="Group 10"/>
            <xdr:cNvGrpSpPr/>
          </xdr:nvGrpSpPr>
          <xdr:grpSpPr>
            <a:xfrm>
              <a:off x="67112" y="1266738"/>
              <a:ext cx="2524125" cy="1021715"/>
              <a:chOff x="0" y="0"/>
              <a:chExt cx="2524125" cy="1021715"/>
            </a:xfrm>
          </xdr:grpSpPr>
          <xdr:sp macro="" textlink="">
            <xdr:nvSpPr>
              <xdr:cNvPr id="12" name="Text Box 5"/>
              <xdr:cNvSpPr txBox="1">
                <a:spLocks noChangeArrowheads="1"/>
              </xdr:cNvSpPr>
            </xdr:nvSpPr>
            <xdr:spPr bwMode="auto">
              <a:xfrm>
                <a:off x="0" y="600075"/>
                <a:ext cx="2314575" cy="42164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chemeClr val="dk1">
                        <a:lumMod val="0"/>
                        <a:lumOff val="0"/>
                      </a:schemeClr>
                    </a:solidFill>
                    <a:miter lim="800000"/>
                    <a:headEnd/>
                    <a:tailEnd/>
                  </a14:hiddenLine>
                </a:ext>
                <a:ext uri="{AF507438-7753-43E0-B8FC-AC1667EBCBE1}">
                  <a14:hiddenEffects xmlns:a14="http://schemas.microsoft.com/office/drawing/2010/main">
                    <a:effectLst/>
                  </a14:hiddenEffects>
                </a:ext>
              </a:extLst>
            </xdr:spPr>
            <xdr:txBody>
              <a:bodyPr rot="0" vert="horz" wrap="square" lIns="36576" tIns="36576" rIns="36576" bIns="36576" anchor="t" anchorCtr="0" upright="1">
                <a:noAutofit/>
              </a:bodyPr>
              <a:lstStyle/>
              <a:p>
                <a:pPr marL="0" marR="0">
                  <a:lnSpc>
                    <a:spcPct val="115000"/>
                  </a:lnSpc>
                  <a:spcBef>
                    <a:spcPts val="0"/>
                  </a:spcBef>
                  <a:spcAft>
                    <a:spcPts val="0"/>
                  </a:spcAft>
                </a:pPr>
                <a:r>
                  <a:rPr lang="en-US" sz="1100">
                    <a:effectLst/>
                    <a:latin typeface="Calibri"/>
                    <a:ea typeface="Calibri"/>
                    <a:cs typeface="Calibri"/>
                  </a:rPr>
                  <a:t>Institute for Sustainable Food Systems</a:t>
                </a:r>
                <a:endParaRPr lang="en-US" sz="1100">
                  <a:effectLst/>
                  <a:latin typeface="Calibri"/>
                  <a:ea typeface="Calibri"/>
                  <a:cs typeface="Times New Roman"/>
                </a:endParaRPr>
              </a:p>
              <a:p>
                <a:pPr marL="0" marR="0">
                  <a:lnSpc>
                    <a:spcPct val="115000"/>
                  </a:lnSpc>
                  <a:spcBef>
                    <a:spcPts val="0"/>
                  </a:spcBef>
                  <a:spcAft>
                    <a:spcPts val="1000"/>
                  </a:spcAft>
                </a:pPr>
                <a:r>
                  <a:rPr lang="en-US" sz="1100">
                    <a:effectLst/>
                    <a:latin typeface="Calibri"/>
                    <a:ea typeface="Calibri"/>
                    <a:cs typeface="Calibri"/>
                  </a:rPr>
                  <a:t>Kwantlen Polytechnic University</a:t>
                </a:r>
                <a:endParaRPr lang="en-US" sz="1100">
                  <a:effectLst/>
                  <a:latin typeface="Calibri"/>
                  <a:ea typeface="Calibri"/>
                  <a:cs typeface="Times New Roman"/>
                </a:endParaRPr>
              </a:p>
            </xdr:txBody>
          </xdr:sp>
          <xdr:pic>
            <xdr:nvPicPr>
              <xdr:cNvPr id="13" name="Picture 12" descr="kpu-Institute-Sustainable-Food-Systems_SPOT"/>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2524125" cy="647700"/>
              </a:xfrm>
              <a:prstGeom prst="rect">
                <a:avLst/>
              </a:prstGeom>
              <a:noFill/>
              <a:ln>
                <a:noFill/>
              </a:ln>
              <a:effectLst/>
            </xdr:spPr>
          </xdr:pic>
          <xdr:sp macro="" textlink="">
            <xdr:nvSpPr>
              <xdr:cNvPr id="14" name="Rectangle 13"/>
              <xdr:cNvSpPr/>
            </xdr:nvSpPr>
            <xdr:spPr>
              <a:xfrm>
                <a:off x="695325" y="304800"/>
                <a:ext cx="1828165" cy="32639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pic>
        <xdr:nvPicPr>
          <xdr:cNvPr id="6"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7315"/>
            <a:ext cx="1784908" cy="1192378"/>
          </a:xfrm>
          <a:prstGeom prst="rect">
            <a:avLst/>
          </a:prstGeom>
          <a:ln>
            <a:noFill/>
          </a:ln>
          <a:effectLst>
            <a:softEdge rad="112500"/>
          </a:effec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0:A48"/>
  <sheetViews>
    <sheetView showGridLines="0" tabSelected="1" topLeftCell="A31" workbookViewId="0">
      <selection activeCell="A45" sqref="A45"/>
    </sheetView>
  </sheetViews>
  <sheetFormatPr defaultRowHeight="15" x14ac:dyDescent="0.25"/>
  <cols>
    <col min="1" max="1" width="111.5703125" customWidth="1"/>
  </cols>
  <sheetData>
    <row r="40" spans="1:1" ht="15.75" x14ac:dyDescent="0.25">
      <c r="A40" s="239" t="s">
        <v>117</v>
      </c>
    </row>
    <row r="42" spans="1:1" ht="90" x14ac:dyDescent="0.25">
      <c r="A42" s="240" t="s">
        <v>121</v>
      </c>
    </row>
    <row r="47" spans="1:1" x14ac:dyDescent="0.25">
      <c r="A47" t="s">
        <v>118</v>
      </c>
    </row>
    <row r="48" spans="1:1" x14ac:dyDescent="0.25">
      <c r="A48" t="s">
        <v>119</v>
      </c>
    </row>
  </sheetData>
  <sheetProtection password="EB59"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zoomScale="90" zoomScaleNormal="90" workbookViewId="0">
      <selection activeCell="D14" sqref="D14:E14"/>
    </sheetView>
  </sheetViews>
  <sheetFormatPr defaultRowHeight="15" x14ac:dyDescent="0.25"/>
  <cols>
    <col min="1" max="1" width="9.140625" style="1"/>
    <col min="2" max="2" width="37.5703125" style="1" bestFit="1" customWidth="1"/>
    <col min="3" max="3" width="16.140625" style="1" customWidth="1"/>
    <col min="4" max="4" width="12.5703125" style="22" customWidth="1"/>
    <col min="5" max="5" width="14.140625" style="1" bestFit="1" customWidth="1"/>
    <col min="6" max="6" width="15" style="2" customWidth="1"/>
    <col min="7" max="7" width="16" style="23" bestFit="1" customWidth="1"/>
    <col min="8" max="9" width="16" style="23" customWidth="1"/>
    <col min="10" max="10" width="20.5703125" style="24" bestFit="1" customWidth="1"/>
    <col min="11" max="11" width="12.140625" style="1" bestFit="1" customWidth="1"/>
    <col min="12" max="12" width="14.5703125" style="1" customWidth="1"/>
    <col min="13" max="13" width="13.7109375" style="1" bestFit="1" customWidth="1"/>
    <col min="14" max="14" width="8.5703125" style="1" bestFit="1" customWidth="1"/>
    <col min="15" max="15" width="14.7109375" style="1" bestFit="1" customWidth="1"/>
    <col min="16" max="16384" width="9.140625" style="1"/>
  </cols>
  <sheetData>
    <row r="1" spans="2:15" ht="15.75" thickBot="1" x14ac:dyDescent="0.3"/>
    <row r="2" spans="2:15" ht="19.5" thickBot="1" x14ac:dyDescent="0.35">
      <c r="B2" s="241" t="s">
        <v>45</v>
      </c>
      <c r="C2" s="242"/>
      <c r="D2" s="242"/>
      <c r="E2" s="242"/>
      <c r="F2" s="242"/>
      <c r="G2" s="242"/>
      <c r="H2" s="242"/>
      <c r="I2" s="242"/>
      <c r="J2" s="242"/>
      <c r="K2" s="242"/>
      <c r="L2" s="242"/>
      <c r="M2" s="242"/>
      <c r="N2" s="242"/>
      <c r="O2" s="243"/>
    </row>
    <row r="3" spans="2:15" ht="100.5" customHeight="1" thickBot="1" x14ac:dyDescent="0.3">
      <c r="B3" s="244" t="s">
        <v>17</v>
      </c>
      <c r="C3" s="245"/>
      <c r="D3" s="245"/>
      <c r="E3" s="245"/>
      <c r="F3" s="245"/>
      <c r="G3" s="245"/>
      <c r="H3" s="245"/>
      <c r="I3" s="245"/>
      <c r="J3" s="245"/>
      <c r="K3" s="245"/>
      <c r="L3" s="245"/>
      <c r="M3" s="245"/>
      <c r="N3" s="245"/>
      <c r="O3" s="246"/>
    </row>
    <row r="4" spans="2:15" ht="19.5" thickBot="1" x14ac:dyDescent="0.3">
      <c r="B4" s="247" t="s">
        <v>19</v>
      </c>
      <c r="C4" s="248"/>
      <c r="D4" s="248"/>
      <c r="E4" s="248"/>
      <c r="F4" s="248"/>
      <c r="G4" s="248"/>
      <c r="H4" s="248"/>
      <c r="I4" s="248"/>
      <c r="J4" s="248"/>
      <c r="K4" s="248"/>
      <c r="L4" s="248"/>
      <c r="M4" s="248"/>
      <c r="N4" s="248"/>
      <c r="O4" s="249"/>
    </row>
    <row r="5" spans="2:15" ht="32.25" thickBot="1" x14ac:dyDescent="0.3">
      <c r="B5" s="158" t="s">
        <v>0</v>
      </c>
      <c r="C5" s="159" t="s">
        <v>2</v>
      </c>
      <c r="D5" s="160" t="s">
        <v>3</v>
      </c>
      <c r="E5" s="160" t="s">
        <v>20</v>
      </c>
      <c r="F5" s="161" t="s">
        <v>47</v>
      </c>
      <c r="G5" s="161" t="s">
        <v>46</v>
      </c>
      <c r="H5" s="162" t="s">
        <v>48</v>
      </c>
      <c r="I5" s="161" t="s">
        <v>49</v>
      </c>
      <c r="J5" s="197" t="s">
        <v>8</v>
      </c>
      <c r="K5" s="160" t="s">
        <v>14</v>
      </c>
      <c r="L5" s="160" t="s">
        <v>21</v>
      </c>
      <c r="M5" s="160" t="s">
        <v>9</v>
      </c>
      <c r="N5" s="160" t="s">
        <v>10</v>
      </c>
      <c r="O5" s="160" t="s">
        <v>22</v>
      </c>
    </row>
    <row r="6" spans="2:15" ht="15.75" thickBot="1" x14ac:dyDescent="0.3">
      <c r="B6" s="25" t="s">
        <v>81</v>
      </c>
      <c r="C6" s="26"/>
      <c r="D6" s="27"/>
      <c r="E6" s="28"/>
      <c r="F6" s="29"/>
      <c r="G6" s="203">
        <v>0.12</v>
      </c>
      <c r="H6" s="30"/>
      <c r="I6" s="30"/>
      <c r="J6" s="31"/>
      <c r="K6" s="28"/>
      <c r="L6" s="32"/>
      <c r="M6" s="33"/>
      <c r="N6" s="34">
        <v>0.05</v>
      </c>
      <c r="O6" s="32"/>
    </row>
    <row r="7" spans="2:15" x14ac:dyDescent="0.25">
      <c r="B7" s="178" t="s">
        <v>60</v>
      </c>
      <c r="C7" s="125"/>
      <c r="D7" s="163"/>
      <c r="E7" s="164"/>
      <c r="F7" s="165"/>
      <c r="G7" s="165"/>
      <c r="H7" s="189"/>
      <c r="I7" s="189"/>
      <c r="J7" s="166"/>
      <c r="K7" s="164"/>
      <c r="L7" s="167"/>
      <c r="M7" s="168"/>
      <c r="N7" s="164"/>
      <c r="O7" s="167"/>
    </row>
    <row r="8" spans="2:15" s="115" customFormat="1" x14ac:dyDescent="0.25">
      <c r="B8" s="54" t="s">
        <v>50</v>
      </c>
      <c r="C8" s="3" t="s">
        <v>12</v>
      </c>
      <c r="D8" s="179">
        <v>120</v>
      </c>
      <c r="E8" s="198">
        <v>19</v>
      </c>
      <c r="F8" s="46">
        <f>IF(D8&gt;0, D8*E8, E8)</f>
        <v>2280</v>
      </c>
      <c r="G8" s="176">
        <f>F8*$G$6</f>
        <v>273.59999999999997</v>
      </c>
      <c r="H8" s="199">
        <f>F8+G8</f>
        <v>2553.6</v>
      </c>
      <c r="I8" s="190">
        <v>0</v>
      </c>
      <c r="J8" s="201">
        <v>10</v>
      </c>
      <c r="K8" s="198">
        <v>25</v>
      </c>
      <c r="L8" s="202"/>
      <c r="M8" s="177">
        <f>(H8-I8)/J8</f>
        <v>255.35999999999999</v>
      </c>
      <c r="N8" s="71">
        <f>((H8+I8)/2)*$N$6</f>
        <v>63.84</v>
      </c>
      <c r="O8" s="72">
        <f>M8+N8</f>
        <v>319.2</v>
      </c>
    </row>
    <row r="9" spans="2:15" s="115" customFormat="1" x14ac:dyDescent="0.25">
      <c r="B9" s="54" t="s">
        <v>51</v>
      </c>
      <c r="C9" s="3" t="s">
        <v>12</v>
      </c>
      <c r="D9" s="179">
        <v>60</v>
      </c>
      <c r="E9" s="198">
        <v>18</v>
      </c>
      <c r="F9" s="46">
        <f t="shared" ref="F9:F17" si="0">IF(D9&gt;0, D9*E9, E9)</f>
        <v>1080</v>
      </c>
      <c r="G9" s="176">
        <f t="shared" ref="G9:G17" si="1">F9*$G$6</f>
        <v>129.6</v>
      </c>
      <c r="H9" s="199">
        <f t="shared" ref="H9:H17" si="2">F9+G9</f>
        <v>1209.5999999999999</v>
      </c>
      <c r="I9" s="190">
        <v>0</v>
      </c>
      <c r="J9" s="201">
        <v>10</v>
      </c>
      <c r="K9" s="198"/>
      <c r="L9" s="202"/>
      <c r="M9" s="177">
        <f t="shared" ref="M9:M17" si="3">(H9-I9)/J9</f>
        <v>120.96</v>
      </c>
      <c r="N9" s="71">
        <f t="shared" ref="N9:N17" si="4">((H9+I9)/2)*$N$6</f>
        <v>30.24</v>
      </c>
      <c r="O9" s="72">
        <f t="shared" ref="O9:O17" si="5">M9+N9</f>
        <v>151.19999999999999</v>
      </c>
    </row>
    <row r="10" spans="2:15" s="115" customFormat="1" x14ac:dyDescent="0.25">
      <c r="B10" s="54" t="s">
        <v>52</v>
      </c>
      <c r="C10" s="3" t="s">
        <v>53</v>
      </c>
      <c r="D10" s="179">
        <v>120</v>
      </c>
      <c r="E10" s="198">
        <v>28.5</v>
      </c>
      <c r="F10" s="46">
        <f t="shared" si="0"/>
        <v>3420</v>
      </c>
      <c r="G10" s="176">
        <f t="shared" si="1"/>
        <v>410.4</v>
      </c>
      <c r="H10" s="199">
        <f t="shared" si="2"/>
        <v>3830.4</v>
      </c>
      <c r="I10" s="190">
        <v>0</v>
      </c>
      <c r="J10" s="201">
        <v>4</v>
      </c>
      <c r="K10" s="198"/>
      <c r="L10" s="202"/>
      <c r="M10" s="177">
        <f t="shared" si="3"/>
        <v>957.6</v>
      </c>
      <c r="N10" s="71">
        <f t="shared" si="4"/>
        <v>95.76</v>
      </c>
      <c r="O10" s="72">
        <f t="shared" si="5"/>
        <v>1053.3600000000001</v>
      </c>
    </row>
    <row r="11" spans="2:15" s="115" customFormat="1" x14ac:dyDescent="0.25">
      <c r="B11" s="54" t="s">
        <v>54</v>
      </c>
      <c r="C11" s="3"/>
      <c r="D11" s="179">
        <v>60</v>
      </c>
      <c r="E11" s="198">
        <v>13.25</v>
      </c>
      <c r="F11" s="46">
        <f>IF(D11&gt;0, D11*E11, E11)</f>
        <v>795</v>
      </c>
      <c r="G11" s="176">
        <f t="shared" si="1"/>
        <v>95.399999999999991</v>
      </c>
      <c r="H11" s="199">
        <f t="shared" si="2"/>
        <v>890.4</v>
      </c>
      <c r="I11" s="190">
        <v>0</v>
      </c>
      <c r="J11" s="201">
        <v>10</v>
      </c>
      <c r="K11" s="198">
        <v>20</v>
      </c>
      <c r="L11" s="202"/>
      <c r="M11" s="177">
        <f t="shared" si="3"/>
        <v>89.039999999999992</v>
      </c>
      <c r="N11" s="71">
        <f t="shared" si="4"/>
        <v>22.26</v>
      </c>
      <c r="O11" s="72">
        <f t="shared" si="5"/>
        <v>111.3</v>
      </c>
    </row>
    <row r="12" spans="2:15" s="115" customFormat="1" x14ac:dyDescent="0.25">
      <c r="B12" s="54" t="s">
        <v>55</v>
      </c>
      <c r="C12" s="3"/>
      <c r="D12" s="179">
        <v>60</v>
      </c>
      <c r="E12" s="198">
        <v>24.75</v>
      </c>
      <c r="F12" s="46">
        <f t="shared" si="0"/>
        <v>1485</v>
      </c>
      <c r="G12" s="176">
        <f t="shared" si="1"/>
        <v>178.2</v>
      </c>
      <c r="H12" s="199">
        <f t="shared" si="2"/>
        <v>1663.2</v>
      </c>
      <c r="I12" s="190">
        <v>0</v>
      </c>
      <c r="J12" s="201">
        <v>10</v>
      </c>
      <c r="K12" s="198"/>
      <c r="L12" s="202"/>
      <c r="M12" s="177">
        <f t="shared" si="3"/>
        <v>166.32</v>
      </c>
      <c r="N12" s="71">
        <f t="shared" si="4"/>
        <v>41.580000000000005</v>
      </c>
      <c r="O12" s="72">
        <f t="shared" si="5"/>
        <v>207.9</v>
      </c>
    </row>
    <row r="13" spans="2:15" s="115" customFormat="1" x14ac:dyDescent="0.25">
      <c r="B13" s="54" t="s">
        <v>56</v>
      </c>
      <c r="C13" s="3"/>
      <c r="D13" s="179">
        <v>60</v>
      </c>
      <c r="E13" s="198">
        <v>13.25</v>
      </c>
      <c r="F13" s="46">
        <f>IF(D13&gt;0, D13*E13, E13)</f>
        <v>795</v>
      </c>
      <c r="G13" s="176">
        <f t="shared" si="1"/>
        <v>95.399999999999991</v>
      </c>
      <c r="H13" s="199">
        <f t="shared" si="2"/>
        <v>890.4</v>
      </c>
      <c r="I13" s="190">
        <v>0</v>
      </c>
      <c r="J13" s="201">
        <v>10</v>
      </c>
      <c r="K13" s="198"/>
      <c r="L13" s="202"/>
      <c r="M13" s="177">
        <f t="shared" si="3"/>
        <v>89.039999999999992</v>
      </c>
      <c r="N13" s="71">
        <f t="shared" si="4"/>
        <v>22.26</v>
      </c>
      <c r="O13" s="72">
        <f t="shared" si="5"/>
        <v>111.3</v>
      </c>
    </row>
    <row r="14" spans="2:15" s="115" customFormat="1" x14ac:dyDescent="0.25">
      <c r="B14" s="54" t="s">
        <v>57</v>
      </c>
      <c r="C14" s="3"/>
      <c r="D14" s="179">
        <v>60</v>
      </c>
      <c r="E14" s="198">
        <v>13.25</v>
      </c>
      <c r="F14" s="46">
        <f t="shared" si="0"/>
        <v>795</v>
      </c>
      <c r="G14" s="176">
        <f t="shared" si="1"/>
        <v>95.399999999999991</v>
      </c>
      <c r="H14" s="199">
        <f t="shared" si="2"/>
        <v>890.4</v>
      </c>
      <c r="I14" s="190">
        <v>180</v>
      </c>
      <c r="J14" s="201">
        <v>10</v>
      </c>
      <c r="K14" s="198"/>
      <c r="L14" s="202"/>
      <c r="M14" s="177">
        <f t="shared" si="3"/>
        <v>71.039999999999992</v>
      </c>
      <c r="N14" s="71">
        <f t="shared" si="4"/>
        <v>26.760000000000005</v>
      </c>
      <c r="O14" s="72">
        <f t="shared" si="5"/>
        <v>97.8</v>
      </c>
    </row>
    <row r="15" spans="2:15" s="115" customFormat="1" x14ac:dyDescent="0.25">
      <c r="B15" s="54" t="s">
        <v>58</v>
      </c>
      <c r="C15" s="3"/>
      <c r="D15" s="179">
        <v>60</v>
      </c>
      <c r="E15" s="198">
        <v>1.5</v>
      </c>
      <c r="F15" s="46">
        <f t="shared" si="0"/>
        <v>90</v>
      </c>
      <c r="G15" s="176">
        <f t="shared" si="1"/>
        <v>10.799999999999999</v>
      </c>
      <c r="H15" s="199">
        <f t="shared" si="2"/>
        <v>100.8</v>
      </c>
      <c r="I15" s="190">
        <v>0</v>
      </c>
      <c r="J15" s="201">
        <v>4</v>
      </c>
      <c r="K15" s="198"/>
      <c r="L15" s="202"/>
      <c r="M15" s="177">
        <f t="shared" si="3"/>
        <v>25.2</v>
      </c>
      <c r="N15" s="71">
        <f t="shared" si="4"/>
        <v>2.52</v>
      </c>
      <c r="O15" s="72">
        <f t="shared" si="5"/>
        <v>27.72</v>
      </c>
    </row>
    <row r="16" spans="2:15" s="20" customFormat="1" x14ac:dyDescent="0.25">
      <c r="B16" s="43" t="s">
        <v>59</v>
      </c>
      <c r="C16" s="4"/>
      <c r="D16" s="179">
        <v>60</v>
      </c>
      <c r="E16" s="180">
        <v>9.9499999999999993</v>
      </c>
      <c r="F16" s="46">
        <f>IF(D16&gt;0, D16*E16, E16)</f>
        <v>597</v>
      </c>
      <c r="G16" s="176">
        <f t="shared" si="1"/>
        <v>71.64</v>
      </c>
      <c r="H16" s="199">
        <f t="shared" si="2"/>
        <v>668.64</v>
      </c>
      <c r="I16" s="190">
        <v>0</v>
      </c>
      <c r="J16" s="181">
        <v>4</v>
      </c>
      <c r="K16" s="70"/>
      <c r="L16" s="182"/>
      <c r="M16" s="177">
        <f t="shared" si="3"/>
        <v>167.16</v>
      </c>
      <c r="N16" s="71">
        <f t="shared" si="4"/>
        <v>16.716000000000001</v>
      </c>
      <c r="O16" s="72">
        <f t="shared" si="5"/>
        <v>183.876</v>
      </c>
    </row>
    <row r="17" spans="2:15" x14ac:dyDescent="0.25">
      <c r="B17" s="43" t="s">
        <v>6</v>
      </c>
      <c r="C17" s="4" t="s">
        <v>15</v>
      </c>
      <c r="D17" s="44">
        <v>2</v>
      </c>
      <c r="E17" s="45">
        <v>450</v>
      </c>
      <c r="F17" s="46">
        <f t="shared" si="0"/>
        <v>900</v>
      </c>
      <c r="G17" s="176">
        <f t="shared" si="1"/>
        <v>108</v>
      </c>
      <c r="H17" s="199">
        <f t="shared" si="2"/>
        <v>1008</v>
      </c>
      <c r="I17" s="191">
        <v>0</v>
      </c>
      <c r="J17" s="47">
        <v>8</v>
      </c>
      <c r="K17" s="9"/>
      <c r="L17" s="48"/>
      <c r="M17" s="177">
        <f t="shared" si="3"/>
        <v>126</v>
      </c>
      <c r="N17" s="71">
        <f t="shared" si="4"/>
        <v>25.200000000000003</v>
      </c>
      <c r="O17" s="72">
        <f t="shared" si="5"/>
        <v>151.19999999999999</v>
      </c>
    </row>
    <row r="18" spans="2:15" ht="15.75" thickBot="1" x14ac:dyDescent="0.3">
      <c r="B18" s="221" t="s">
        <v>7</v>
      </c>
      <c r="C18" s="222"/>
      <c r="D18" s="169"/>
      <c r="E18" s="174"/>
      <c r="F18" s="67"/>
      <c r="G18" s="67"/>
      <c r="H18" s="194"/>
      <c r="I18" s="194"/>
      <c r="J18" s="171"/>
      <c r="K18" s="67">
        <f>SUM(K8:K17)</f>
        <v>45</v>
      </c>
      <c r="L18" s="67">
        <f>SUM(L16:L17)</f>
        <v>0</v>
      </c>
      <c r="M18" s="172"/>
      <c r="N18" s="67"/>
      <c r="O18" s="68">
        <f>SUM(O8:O17)</f>
        <v>2414.8560000000002</v>
      </c>
    </row>
    <row r="19" spans="2:15" ht="15.75" thickBot="1" x14ac:dyDescent="0.3">
      <c r="B19" s="50"/>
      <c r="C19" s="51"/>
      <c r="D19" s="51"/>
      <c r="E19" s="51"/>
      <c r="F19" s="51"/>
      <c r="G19" s="51"/>
      <c r="H19" s="51"/>
      <c r="I19" s="51"/>
      <c r="J19" s="51"/>
      <c r="K19" s="51"/>
      <c r="L19" s="52"/>
      <c r="M19" s="51"/>
      <c r="N19" s="51"/>
      <c r="O19" s="52"/>
    </row>
    <row r="20" spans="2:15" x14ac:dyDescent="0.25">
      <c r="B20" s="178" t="s">
        <v>34</v>
      </c>
      <c r="C20" s="125"/>
      <c r="D20" s="163"/>
      <c r="E20" s="164"/>
      <c r="F20" s="165"/>
      <c r="G20" s="165"/>
      <c r="H20" s="189"/>
      <c r="I20" s="189"/>
      <c r="J20" s="166"/>
      <c r="K20" s="164"/>
      <c r="L20" s="167"/>
      <c r="M20" s="168"/>
      <c r="N20" s="173"/>
      <c r="O20" s="167"/>
    </row>
    <row r="21" spans="2:15" x14ac:dyDescent="0.25">
      <c r="B21" s="43" t="s">
        <v>61</v>
      </c>
      <c r="C21" s="4"/>
      <c r="D21" s="179">
        <v>2</v>
      </c>
      <c r="E21" s="180">
        <v>11.95</v>
      </c>
      <c r="F21" s="176">
        <f>IF(D21&gt;0, D21*E21, E21)</f>
        <v>23.9</v>
      </c>
      <c r="G21" s="176">
        <f>F21*$G$6</f>
        <v>2.8679999999999999</v>
      </c>
      <c r="H21" s="199">
        <f>F21+G21</f>
        <v>26.767999999999997</v>
      </c>
      <c r="I21" s="190">
        <v>0</v>
      </c>
      <c r="J21" s="181">
        <v>10</v>
      </c>
      <c r="K21" s="70"/>
      <c r="L21" s="182"/>
      <c r="M21" s="177">
        <f t="shared" ref="M21:M36" si="6">(F21-G21)/J21</f>
        <v>2.1032000000000002</v>
      </c>
      <c r="N21" s="71">
        <f t="shared" ref="N21:N36" si="7">((H21+I21)/2)*$N$6</f>
        <v>0.66920000000000002</v>
      </c>
      <c r="O21" s="72">
        <f t="shared" ref="O21:O26" si="8">M21+N21</f>
        <v>2.7724000000000002</v>
      </c>
    </row>
    <row r="22" spans="2:15" x14ac:dyDescent="0.25">
      <c r="B22" s="43" t="s">
        <v>62</v>
      </c>
      <c r="C22" s="4"/>
      <c r="D22" s="44">
        <v>2</v>
      </c>
      <c r="E22" s="45">
        <v>5.75</v>
      </c>
      <c r="F22" s="46">
        <f>IF(D22&gt;0, D22*E22, E22)</f>
        <v>11.5</v>
      </c>
      <c r="G22" s="176">
        <f t="shared" ref="G22:G36" si="9">F22*$G$6</f>
        <v>1.38</v>
      </c>
      <c r="H22" s="199">
        <f t="shared" ref="H22:H36" si="10">F22+G22</f>
        <v>12.879999999999999</v>
      </c>
      <c r="I22" s="191">
        <v>0</v>
      </c>
      <c r="J22" s="47">
        <v>10</v>
      </c>
      <c r="K22" s="9"/>
      <c r="L22" s="48"/>
      <c r="M22" s="49">
        <f t="shared" si="6"/>
        <v>1.012</v>
      </c>
      <c r="N22" s="71">
        <f t="shared" si="7"/>
        <v>0.32200000000000001</v>
      </c>
      <c r="O22" s="11">
        <f t="shared" si="8"/>
        <v>1.3340000000000001</v>
      </c>
    </row>
    <row r="23" spans="2:15" x14ac:dyDescent="0.25">
      <c r="B23" s="43" t="s">
        <v>63</v>
      </c>
      <c r="C23" s="4"/>
      <c r="D23" s="44">
        <v>1</v>
      </c>
      <c r="E23" s="45">
        <v>40.950000000000003</v>
      </c>
      <c r="F23" s="46">
        <f t="shared" ref="F23:F36" si="11">IF(D23&gt;0, D23*E23, E23)</f>
        <v>40.950000000000003</v>
      </c>
      <c r="G23" s="176">
        <f t="shared" si="9"/>
        <v>4.9140000000000006</v>
      </c>
      <c r="H23" s="199">
        <f t="shared" si="10"/>
        <v>45.864000000000004</v>
      </c>
      <c r="I23" s="191">
        <v>0</v>
      </c>
      <c r="J23" s="47">
        <v>10</v>
      </c>
      <c r="K23" s="9"/>
      <c r="L23" s="48"/>
      <c r="M23" s="49">
        <f t="shared" si="6"/>
        <v>3.6036000000000001</v>
      </c>
      <c r="N23" s="71">
        <f t="shared" si="7"/>
        <v>1.1466000000000001</v>
      </c>
      <c r="O23" s="11">
        <f t="shared" si="8"/>
        <v>4.7502000000000004</v>
      </c>
    </row>
    <row r="24" spans="2:15" x14ac:dyDescent="0.25">
      <c r="B24" s="43" t="s">
        <v>64</v>
      </c>
      <c r="C24" s="4"/>
      <c r="D24" s="44">
        <v>2</v>
      </c>
      <c r="E24" s="45">
        <v>14.5</v>
      </c>
      <c r="F24" s="46">
        <f t="shared" si="11"/>
        <v>29</v>
      </c>
      <c r="G24" s="176">
        <f t="shared" si="9"/>
        <v>3.48</v>
      </c>
      <c r="H24" s="199">
        <f t="shared" si="10"/>
        <v>32.479999999999997</v>
      </c>
      <c r="I24" s="191">
        <v>0</v>
      </c>
      <c r="J24" s="47">
        <v>10</v>
      </c>
      <c r="K24" s="9"/>
      <c r="L24" s="48"/>
      <c r="M24" s="49">
        <f t="shared" si="6"/>
        <v>2.552</v>
      </c>
      <c r="N24" s="71">
        <f t="shared" si="7"/>
        <v>0.81199999999999994</v>
      </c>
      <c r="O24" s="11">
        <f t="shared" si="8"/>
        <v>3.3639999999999999</v>
      </c>
    </row>
    <row r="25" spans="2:15" x14ac:dyDescent="0.25">
      <c r="B25" s="43" t="s">
        <v>65</v>
      </c>
      <c r="C25" s="4"/>
      <c r="D25" s="44">
        <v>1</v>
      </c>
      <c r="E25" s="45">
        <v>93.95</v>
      </c>
      <c r="F25" s="46">
        <f>IF(D25&gt;0, D25*E25, E25)</f>
        <v>93.95</v>
      </c>
      <c r="G25" s="176">
        <f t="shared" si="9"/>
        <v>11.273999999999999</v>
      </c>
      <c r="H25" s="199">
        <f t="shared" si="10"/>
        <v>105.224</v>
      </c>
      <c r="I25" s="191">
        <v>0</v>
      </c>
      <c r="J25" s="47">
        <v>4</v>
      </c>
      <c r="K25" s="9"/>
      <c r="L25" s="48"/>
      <c r="M25" s="49">
        <f t="shared" si="6"/>
        <v>20.669</v>
      </c>
      <c r="N25" s="71">
        <f t="shared" si="7"/>
        <v>2.6306000000000003</v>
      </c>
      <c r="O25" s="11">
        <f t="shared" si="8"/>
        <v>23.299600000000002</v>
      </c>
    </row>
    <row r="26" spans="2:15" s="20" customFormat="1" x14ac:dyDescent="0.25">
      <c r="B26" s="43" t="s">
        <v>66</v>
      </c>
      <c r="C26" s="4"/>
      <c r="D26" s="44">
        <v>1</v>
      </c>
      <c r="E26" s="45">
        <v>20.95</v>
      </c>
      <c r="F26" s="46">
        <f t="shared" si="11"/>
        <v>20.95</v>
      </c>
      <c r="G26" s="176">
        <f t="shared" si="9"/>
        <v>2.5139999999999998</v>
      </c>
      <c r="H26" s="199">
        <f t="shared" si="10"/>
        <v>23.463999999999999</v>
      </c>
      <c r="I26" s="191">
        <v>0</v>
      </c>
      <c r="J26" s="47">
        <v>4</v>
      </c>
      <c r="K26" s="9"/>
      <c r="L26" s="48"/>
      <c r="M26" s="49">
        <f t="shared" si="6"/>
        <v>4.609</v>
      </c>
      <c r="N26" s="71">
        <f t="shared" si="7"/>
        <v>0.58660000000000001</v>
      </c>
      <c r="O26" s="11">
        <f t="shared" si="8"/>
        <v>5.1955999999999998</v>
      </c>
    </row>
    <row r="27" spans="2:15" x14ac:dyDescent="0.25">
      <c r="B27" s="43" t="s">
        <v>67</v>
      </c>
      <c r="C27" s="43" t="s">
        <v>68</v>
      </c>
      <c r="D27" s="44">
        <v>2</v>
      </c>
      <c r="E27" s="45">
        <v>12.95</v>
      </c>
      <c r="F27" s="46">
        <f t="shared" si="11"/>
        <v>25.9</v>
      </c>
      <c r="G27" s="176">
        <f t="shared" si="9"/>
        <v>3.1079999999999997</v>
      </c>
      <c r="H27" s="199">
        <f t="shared" si="10"/>
        <v>29.007999999999999</v>
      </c>
      <c r="I27" s="191">
        <v>0</v>
      </c>
      <c r="J27" s="47">
        <v>4</v>
      </c>
      <c r="K27" s="9"/>
      <c r="L27" s="48"/>
      <c r="M27" s="49">
        <f t="shared" si="6"/>
        <v>5.6979999999999995</v>
      </c>
      <c r="N27" s="71">
        <f t="shared" si="7"/>
        <v>0.72520000000000007</v>
      </c>
      <c r="O27" s="11">
        <f t="shared" ref="O27:O34" si="12">M27+N27</f>
        <v>6.4231999999999996</v>
      </c>
    </row>
    <row r="28" spans="2:15" x14ac:dyDescent="0.25">
      <c r="B28" s="43" t="s">
        <v>69</v>
      </c>
      <c r="C28" s="43" t="s">
        <v>70</v>
      </c>
      <c r="D28" s="44">
        <v>20</v>
      </c>
      <c r="E28" s="45">
        <v>9.5</v>
      </c>
      <c r="F28" s="46">
        <f t="shared" si="11"/>
        <v>190</v>
      </c>
      <c r="G28" s="176">
        <f t="shared" si="9"/>
        <v>22.8</v>
      </c>
      <c r="H28" s="199">
        <f t="shared" si="10"/>
        <v>212.8</v>
      </c>
      <c r="I28" s="191">
        <v>0</v>
      </c>
      <c r="J28" s="47">
        <v>10</v>
      </c>
      <c r="K28" s="9"/>
      <c r="L28" s="48"/>
      <c r="M28" s="49">
        <f t="shared" si="6"/>
        <v>16.72</v>
      </c>
      <c r="N28" s="71">
        <f t="shared" si="7"/>
        <v>5.32</v>
      </c>
      <c r="O28" s="11">
        <f t="shared" si="12"/>
        <v>22.04</v>
      </c>
    </row>
    <row r="29" spans="2:15" x14ac:dyDescent="0.25">
      <c r="B29" s="43" t="s">
        <v>71</v>
      </c>
      <c r="C29" s="43" t="s">
        <v>72</v>
      </c>
      <c r="D29" s="44">
        <v>1</v>
      </c>
      <c r="E29" s="45">
        <v>105.95</v>
      </c>
      <c r="F29" s="46">
        <f t="shared" si="11"/>
        <v>105.95</v>
      </c>
      <c r="G29" s="176">
        <f t="shared" si="9"/>
        <v>12.714</v>
      </c>
      <c r="H29" s="199">
        <f t="shared" si="10"/>
        <v>118.664</v>
      </c>
      <c r="I29" s="191">
        <v>52.975000000000001</v>
      </c>
      <c r="J29" s="47">
        <v>10</v>
      </c>
      <c r="K29" s="9"/>
      <c r="L29" s="48"/>
      <c r="M29" s="49">
        <f t="shared" si="6"/>
        <v>9.3236000000000008</v>
      </c>
      <c r="N29" s="71">
        <f t="shared" si="7"/>
        <v>4.2909750000000004</v>
      </c>
      <c r="O29" s="11">
        <f t="shared" si="12"/>
        <v>13.614575000000002</v>
      </c>
    </row>
    <row r="30" spans="2:15" x14ac:dyDescent="0.25">
      <c r="B30" s="43" t="s">
        <v>73</v>
      </c>
      <c r="C30" s="43"/>
      <c r="D30" s="44">
        <v>1</v>
      </c>
      <c r="E30" s="45">
        <v>28</v>
      </c>
      <c r="F30" s="46">
        <f t="shared" si="11"/>
        <v>28</v>
      </c>
      <c r="G30" s="176">
        <f t="shared" si="9"/>
        <v>3.36</v>
      </c>
      <c r="H30" s="199">
        <f t="shared" si="10"/>
        <v>31.36</v>
      </c>
      <c r="I30" s="191">
        <v>0</v>
      </c>
      <c r="J30" s="47">
        <v>10</v>
      </c>
      <c r="K30" s="9"/>
      <c r="L30" s="48"/>
      <c r="M30" s="49">
        <f t="shared" si="6"/>
        <v>2.464</v>
      </c>
      <c r="N30" s="71">
        <f t="shared" si="7"/>
        <v>0.78400000000000003</v>
      </c>
      <c r="O30" s="11">
        <f t="shared" si="12"/>
        <v>3.2480000000000002</v>
      </c>
    </row>
    <row r="31" spans="2:15" x14ac:dyDescent="0.25">
      <c r="B31" s="43" t="s">
        <v>74</v>
      </c>
      <c r="C31" s="43"/>
      <c r="D31" s="44">
        <v>1</v>
      </c>
      <c r="E31" s="45">
        <v>600</v>
      </c>
      <c r="F31" s="46">
        <f t="shared" si="11"/>
        <v>600</v>
      </c>
      <c r="G31" s="176">
        <f t="shared" si="9"/>
        <v>72</v>
      </c>
      <c r="H31" s="199">
        <f t="shared" si="10"/>
        <v>672</v>
      </c>
      <c r="I31" s="191">
        <v>0</v>
      </c>
      <c r="J31" s="47">
        <v>10</v>
      </c>
      <c r="K31" s="9">
        <v>150</v>
      </c>
      <c r="L31" s="48"/>
      <c r="M31" s="49">
        <f t="shared" si="6"/>
        <v>52.8</v>
      </c>
      <c r="N31" s="71">
        <f t="shared" si="7"/>
        <v>16.8</v>
      </c>
      <c r="O31" s="11">
        <f t="shared" si="12"/>
        <v>69.599999999999994</v>
      </c>
    </row>
    <row r="32" spans="2:15" x14ac:dyDescent="0.25">
      <c r="B32" s="43" t="s">
        <v>75</v>
      </c>
      <c r="C32" s="43"/>
      <c r="D32" s="44">
        <v>1</v>
      </c>
      <c r="E32" s="45">
        <v>4.5</v>
      </c>
      <c r="F32" s="46">
        <f t="shared" si="11"/>
        <v>4.5</v>
      </c>
      <c r="G32" s="176">
        <f t="shared" si="9"/>
        <v>0.54</v>
      </c>
      <c r="H32" s="199">
        <f t="shared" si="10"/>
        <v>5.04</v>
      </c>
      <c r="I32" s="191">
        <v>0</v>
      </c>
      <c r="J32" s="47">
        <v>10</v>
      </c>
      <c r="K32" s="9"/>
      <c r="L32" s="48"/>
      <c r="M32" s="49">
        <f t="shared" si="6"/>
        <v>0.39600000000000002</v>
      </c>
      <c r="N32" s="71">
        <f t="shared" si="7"/>
        <v>0.126</v>
      </c>
      <c r="O32" s="11">
        <f t="shared" si="12"/>
        <v>0.52200000000000002</v>
      </c>
    </row>
    <row r="33" spans="2:15" s="20" customFormat="1" x14ac:dyDescent="0.25">
      <c r="B33" s="43" t="s">
        <v>76</v>
      </c>
      <c r="C33" s="43"/>
      <c r="D33" s="44">
        <v>5</v>
      </c>
      <c r="E33" s="45">
        <v>12.75</v>
      </c>
      <c r="F33" s="46">
        <f t="shared" si="11"/>
        <v>63.75</v>
      </c>
      <c r="G33" s="176">
        <f t="shared" si="9"/>
        <v>7.6499999999999995</v>
      </c>
      <c r="H33" s="199">
        <f t="shared" si="10"/>
        <v>71.400000000000006</v>
      </c>
      <c r="I33" s="191">
        <v>0</v>
      </c>
      <c r="J33" s="47">
        <v>10</v>
      </c>
      <c r="K33" s="9"/>
      <c r="L33" s="48"/>
      <c r="M33" s="49">
        <f t="shared" si="6"/>
        <v>5.61</v>
      </c>
      <c r="N33" s="71">
        <f t="shared" si="7"/>
        <v>1.7850000000000001</v>
      </c>
      <c r="O33" s="11">
        <f t="shared" si="12"/>
        <v>7.3950000000000005</v>
      </c>
    </row>
    <row r="34" spans="2:15" x14ac:dyDescent="0.25">
      <c r="B34" s="43" t="s">
        <v>77</v>
      </c>
      <c r="C34" s="43" t="s">
        <v>78</v>
      </c>
      <c r="D34" s="55">
        <v>2</v>
      </c>
      <c r="E34" s="56">
        <v>30</v>
      </c>
      <c r="F34" s="46">
        <f t="shared" si="11"/>
        <v>60</v>
      </c>
      <c r="G34" s="176">
        <f t="shared" si="9"/>
        <v>7.1999999999999993</v>
      </c>
      <c r="H34" s="199">
        <f t="shared" si="10"/>
        <v>67.2</v>
      </c>
      <c r="I34" s="193">
        <v>0</v>
      </c>
      <c r="J34" s="58">
        <v>10</v>
      </c>
      <c r="K34" s="59"/>
      <c r="L34" s="60"/>
      <c r="M34" s="183">
        <f t="shared" si="6"/>
        <v>5.2799999999999994</v>
      </c>
      <c r="N34" s="71">
        <f t="shared" si="7"/>
        <v>1.6800000000000002</v>
      </c>
      <c r="O34" s="184">
        <f t="shared" si="12"/>
        <v>6.9599999999999991</v>
      </c>
    </row>
    <row r="35" spans="2:15" s="20" customFormat="1" x14ac:dyDescent="0.25">
      <c r="B35" s="54" t="s">
        <v>79</v>
      </c>
      <c r="C35" s="3"/>
      <c r="D35" s="179">
        <v>50</v>
      </c>
      <c r="E35" s="180">
        <v>30</v>
      </c>
      <c r="F35" s="46">
        <f t="shared" si="11"/>
        <v>1500</v>
      </c>
      <c r="G35" s="176">
        <f t="shared" si="9"/>
        <v>180</v>
      </c>
      <c r="H35" s="199">
        <f t="shared" si="10"/>
        <v>1680</v>
      </c>
      <c r="I35" s="190">
        <v>0</v>
      </c>
      <c r="J35" s="181">
        <v>10</v>
      </c>
      <c r="K35" s="70"/>
      <c r="L35" s="182"/>
      <c r="M35" s="177">
        <f t="shared" si="6"/>
        <v>132</v>
      </c>
      <c r="N35" s="71">
        <f t="shared" si="7"/>
        <v>42</v>
      </c>
      <c r="O35" s="72">
        <f>M35+N35</f>
        <v>174</v>
      </c>
    </row>
    <row r="36" spans="2:15" x14ac:dyDescent="0.25">
      <c r="B36" s="54" t="s">
        <v>80</v>
      </c>
      <c r="C36" s="3"/>
      <c r="D36" s="55">
        <v>1</v>
      </c>
      <c r="E36" s="56">
        <v>150</v>
      </c>
      <c r="F36" s="46">
        <f t="shared" si="11"/>
        <v>150</v>
      </c>
      <c r="G36" s="176">
        <f t="shared" si="9"/>
        <v>18</v>
      </c>
      <c r="H36" s="199">
        <f t="shared" si="10"/>
        <v>168</v>
      </c>
      <c r="I36" s="193">
        <v>0</v>
      </c>
      <c r="J36" s="58">
        <v>4</v>
      </c>
      <c r="K36" s="59"/>
      <c r="L36" s="60">
        <v>1000</v>
      </c>
      <c r="M36" s="183">
        <f t="shared" si="6"/>
        <v>33</v>
      </c>
      <c r="N36" s="71">
        <f t="shared" si="7"/>
        <v>4.2</v>
      </c>
      <c r="O36" s="184">
        <f>M36+N36</f>
        <v>37.200000000000003</v>
      </c>
    </row>
    <row r="37" spans="2:15" ht="15.75" thickBot="1" x14ac:dyDescent="0.3">
      <c r="B37" s="185" t="s">
        <v>7</v>
      </c>
      <c r="C37" s="186"/>
      <c r="D37" s="169"/>
      <c r="E37" s="170"/>
      <c r="F37" s="67"/>
      <c r="G37" s="67"/>
      <c r="H37" s="194"/>
      <c r="I37" s="194"/>
      <c r="J37" s="171"/>
      <c r="K37" s="67">
        <f>SUM(K8:K36)</f>
        <v>240</v>
      </c>
      <c r="L37" s="68">
        <f>SUM(L35:L36)</f>
        <v>1000</v>
      </c>
      <c r="M37" s="172"/>
      <c r="N37" s="67"/>
      <c r="O37" s="68">
        <f>SUM(O21:O36)</f>
        <v>381.71857499999999</v>
      </c>
    </row>
    <row r="38" spans="2:15" s="115" customFormat="1" ht="15.75" thickBot="1" x14ac:dyDescent="0.3">
      <c r="B38" s="188"/>
      <c r="C38" s="114"/>
      <c r="D38" s="214"/>
      <c r="E38" s="215"/>
      <c r="F38" s="216"/>
      <c r="G38" s="216"/>
      <c r="H38" s="217"/>
      <c r="I38" s="217"/>
      <c r="J38" s="218"/>
      <c r="K38" s="216"/>
      <c r="L38" s="219"/>
      <c r="M38" s="220"/>
      <c r="N38" s="216"/>
      <c r="O38" s="219"/>
    </row>
    <row r="39" spans="2:15" x14ac:dyDescent="0.25">
      <c r="B39" s="35" t="s">
        <v>104</v>
      </c>
      <c r="C39" s="36"/>
      <c r="D39" s="37"/>
      <c r="E39" s="38"/>
      <c r="F39" s="39"/>
      <c r="G39" s="39"/>
      <c r="H39" s="192"/>
      <c r="I39" s="192"/>
      <c r="J39" s="40"/>
      <c r="K39" s="38"/>
      <c r="L39" s="41"/>
      <c r="M39" s="42"/>
      <c r="N39" s="53"/>
      <c r="O39" s="41"/>
    </row>
    <row r="40" spans="2:15" x14ac:dyDescent="0.25">
      <c r="B40" s="43" t="s">
        <v>102</v>
      </c>
      <c r="C40" s="4"/>
      <c r="D40" s="61"/>
      <c r="E40" s="62"/>
      <c r="F40" s="62"/>
      <c r="G40" s="175"/>
      <c r="H40" s="195">
        <v>65</v>
      </c>
      <c r="I40" s="196"/>
      <c r="J40" s="63"/>
      <c r="K40" s="15"/>
      <c r="L40" s="64"/>
      <c r="M40" s="49">
        <f>H40</f>
        <v>65</v>
      </c>
      <c r="N40" s="10">
        <f>H40*$N$6</f>
        <v>3.25</v>
      </c>
      <c r="O40" s="11">
        <f>M40+N40</f>
        <v>68.25</v>
      </c>
    </row>
    <row r="41" spans="2:15" x14ac:dyDescent="0.25">
      <c r="B41" s="43" t="s">
        <v>105</v>
      </c>
      <c r="C41" s="4"/>
      <c r="D41" s="61"/>
      <c r="E41" s="62"/>
      <c r="F41" s="62"/>
      <c r="G41" s="175"/>
      <c r="H41" s="195">
        <v>55</v>
      </c>
      <c r="I41" s="196"/>
      <c r="J41" s="63"/>
      <c r="K41" s="15"/>
      <c r="L41" s="64"/>
      <c r="M41" s="49">
        <f>H41</f>
        <v>55</v>
      </c>
      <c r="N41" s="10">
        <f>H41*$N$6</f>
        <v>2.75</v>
      </c>
      <c r="O41" s="11">
        <f t="shared" ref="O41" si="13">M41+N41</f>
        <v>57.75</v>
      </c>
    </row>
    <row r="42" spans="2:15" ht="15.75" thickBot="1" x14ac:dyDescent="0.3">
      <c r="B42" s="185" t="s">
        <v>7</v>
      </c>
      <c r="C42" s="186"/>
      <c r="D42" s="169"/>
      <c r="E42" s="170"/>
      <c r="F42" s="67"/>
      <c r="G42" s="67"/>
      <c r="H42" s="194"/>
      <c r="I42" s="194"/>
      <c r="J42" s="171"/>
      <c r="K42" s="67">
        <f>SUM(K12:K41)</f>
        <v>435</v>
      </c>
      <c r="L42" s="68">
        <f>SUM(L40:L41)</f>
        <v>0</v>
      </c>
      <c r="M42" s="172"/>
      <c r="N42" s="67"/>
      <c r="O42" s="68">
        <f>SUM(O40:O41)</f>
        <v>126</v>
      </c>
    </row>
  </sheetData>
  <mergeCells count="3">
    <mergeCell ref="B2:O2"/>
    <mergeCell ref="B3:O3"/>
    <mergeCell ref="B4:O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8"/>
  <sheetViews>
    <sheetView topLeftCell="A16" zoomScale="90" zoomScaleNormal="90" workbookViewId="0">
      <selection activeCell="M39" sqref="M39"/>
    </sheetView>
  </sheetViews>
  <sheetFormatPr defaultRowHeight="15" x14ac:dyDescent="0.25"/>
  <cols>
    <col min="1" max="1" width="9.140625" style="1"/>
    <col min="2" max="2" width="32" style="1" bestFit="1" customWidth="1"/>
    <col min="3" max="3" width="17.140625" style="1" bestFit="1" customWidth="1"/>
    <col min="4" max="4" width="9.7109375" style="1" bestFit="1" customWidth="1"/>
    <col min="5" max="5" width="10.140625" style="2" bestFit="1" customWidth="1"/>
    <col min="6" max="6" width="13.85546875" style="1" bestFit="1" customWidth="1"/>
    <col min="7" max="7" width="13.85546875" style="1" customWidth="1"/>
    <col min="8" max="8" width="13.42578125" style="1" bestFit="1" customWidth="1"/>
    <col min="9" max="16384" width="9.140625" style="1"/>
  </cols>
  <sheetData>
    <row r="1" spans="2:8" ht="15.75" thickBot="1" x14ac:dyDescent="0.3"/>
    <row r="2" spans="2:8" ht="19.5" thickBot="1" x14ac:dyDescent="0.35">
      <c r="B2" s="241" t="s">
        <v>45</v>
      </c>
      <c r="C2" s="251"/>
      <c r="D2" s="251"/>
      <c r="E2" s="251"/>
      <c r="F2" s="251"/>
      <c r="G2" s="251"/>
      <c r="H2" s="252"/>
    </row>
    <row r="3" spans="2:8" ht="90" customHeight="1" thickBot="1" x14ac:dyDescent="0.3">
      <c r="B3" s="253" t="s">
        <v>17</v>
      </c>
      <c r="C3" s="254"/>
      <c r="D3" s="254"/>
      <c r="E3" s="254"/>
      <c r="F3" s="254"/>
      <c r="G3" s="254"/>
      <c r="H3" s="255"/>
    </row>
    <row r="4" spans="2:8" s="115" customFormat="1" ht="16.5" thickBot="1" x14ac:dyDescent="0.3">
      <c r="B4" s="116"/>
      <c r="C4" s="116"/>
      <c r="D4" s="116"/>
      <c r="E4" s="116"/>
      <c r="F4" s="116"/>
      <c r="G4" s="116"/>
      <c r="H4" s="116"/>
    </row>
    <row r="5" spans="2:8" ht="15.75" thickBot="1" x14ac:dyDescent="0.3">
      <c r="B5" s="204" t="s">
        <v>85</v>
      </c>
      <c r="C5" s="205">
        <v>50</v>
      </c>
      <c r="D5" s="4"/>
      <c r="E5" s="6"/>
      <c r="F5" s="4"/>
      <c r="G5" s="4"/>
      <c r="H5" s="4"/>
    </row>
    <row r="6" spans="2:8" ht="15.75" thickBot="1" x14ac:dyDescent="0.3">
      <c r="B6" s="4"/>
      <c r="C6" s="4"/>
      <c r="D6" s="4"/>
      <c r="E6" s="6"/>
      <c r="F6" s="4"/>
      <c r="G6" s="4"/>
      <c r="H6" s="4"/>
    </row>
    <row r="7" spans="2:8" x14ac:dyDescent="0.25">
      <c r="B7" s="127" t="s">
        <v>37</v>
      </c>
      <c r="C7" s="119"/>
      <c r="D7" s="119"/>
      <c r="E7" s="119"/>
      <c r="F7" s="119"/>
      <c r="G7" s="119"/>
      <c r="H7" s="120"/>
    </row>
    <row r="8" spans="2:8" x14ac:dyDescent="0.25">
      <c r="B8" s="139"/>
      <c r="C8" s="121" t="s">
        <v>84</v>
      </c>
      <c r="D8" s="121" t="s">
        <v>2</v>
      </c>
      <c r="E8" s="121" t="s">
        <v>13</v>
      </c>
      <c r="F8" s="122" t="s">
        <v>83</v>
      </c>
      <c r="G8" s="206" t="s">
        <v>112</v>
      </c>
      <c r="H8" s="146" t="s">
        <v>114</v>
      </c>
    </row>
    <row r="9" spans="2:8" x14ac:dyDescent="0.25">
      <c r="B9" s="128" t="s">
        <v>82</v>
      </c>
      <c r="C9" s="8">
        <v>2000</v>
      </c>
      <c r="D9" s="7" t="s">
        <v>18</v>
      </c>
      <c r="E9" s="45">
        <v>8</v>
      </c>
      <c r="F9" s="46">
        <f>C9*E9</f>
        <v>16000</v>
      </c>
      <c r="G9" s="200">
        <f>F9/$C$5</f>
        <v>320</v>
      </c>
      <c r="H9" s="211"/>
    </row>
    <row r="10" spans="2:8" x14ac:dyDescent="0.25">
      <c r="B10" s="128"/>
      <c r="C10" s="8"/>
      <c r="D10" s="7"/>
      <c r="E10" s="45"/>
      <c r="F10" s="46">
        <f t="shared" ref="F10:F11" si="0">C10*E10</f>
        <v>0</v>
      </c>
      <c r="G10" s="200">
        <f t="shared" ref="G10:G11" si="1">F10/$C$5</f>
        <v>0</v>
      </c>
      <c r="H10" s="211"/>
    </row>
    <row r="11" spans="2:8" x14ac:dyDescent="0.25">
      <c r="B11" s="128"/>
      <c r="C11" s="8"/>
      <c r="D11" s="7"/>
      <c r="E11" s="45"/>
      <c r="F11" s="46">
        <f t="shared" si="0"/>
        <v>0</v>
      </c>
      <c r="G11" s="200">
        <f t="shared" si="1"/>
        <v>0</v>
      </c>
      <c r="H11" s="211"/>
    </row>
    <row r="12" spans="2:8" ht="15.75" thickBot="1" x14ac:dyDescent="0.3">
      <c r="B12" s="130" t="s">
        <v>1</v>
      </c>
      <c r="C12" s="65"/>
      <c r="D12" s="66"/>
      <c r="E12" s="226"/>
      <c r="F12" s="227">
        <f>SUM(F9:F11)</f>
        <v>16000</v>
      </c>
      <c r="G12" s="227">
        <f>SUM(G9:G11)</f>
        <v>320</v>
      </c>
      <c r="H12" s="228"/>
    </row>
    <row r="13" spans="2:8" ht="15.75" thickBot="1" x14ac:dyDescent="0.3">
      <c r="B13" s="250"/>
      <c r="C13" s="250"/>
      <c r="D13" s="250"/>
      <c r="E13" s="250"/>
      <c r="F13" s="250"/>
      <c r="G13" s="187"/>
      <c r="H13" s="4"/>
    </row>
    <row r="14" spans="2:8" x14ac:dyDescent="0.25">
      <c r="B14" s="69" t="s">
        <v>36</v>
      </c>
      <c r="C14" s="125"/>
      <c r="D14" s="125"/>
      <c r="E14" s="125"/>
      <c r="F14" s="125"/>
      <c r="G14" s="125"/>
      <c r="H14" s="126"/>
    </row>
    <row r="15" spans="2:8" x14ac:dyDescent="0.25">
      <c r="B15" s="131"/>
      <c r="C15" s="123" t="s">
        <v>84</v>
      </c>
      <c r="D15" s="123" t="s">
        <v>2</v>
      </c>
      <c r="E15" s="123" t="s">
        <v>111</v>
      </c>
      <c r="F15" s="124" t="s">
        <v>83</v>
      </c>
      <c r="G15" s="208" t="s">
        <v>113</v>
      </c>
      <c r="H15" s="132" t="s">
        <v>110</v>
      </c>
    </row>
    <row r="16" spans="2:8" x14ac:dyDescent="0.25">
      <c r="B16" s="133" t="s">
        <v>86</v>
      </c>
      <c r="C16" s="12"/>
      <c r="D16" s="12"/>
      <c r="E16" s="12"/>
      <c r="F16" s="13"/>
      <c r="G16" s="209"/>
      <c r="H16" s="14"/>
    </row>
    <row r="17" spans="2:8" x14ac:dyDescent="0.25">
      <c r="B17" s="134" t="s">
        <v>87</v>
      </c>
      <c r="C17" s="7">
        <v>50</v>
      </c>
      <c r="D17" s="7" t="s">
        <v>93</v>
      </c>
      <c r="E17" s="45">
        <v>175</v>
      </c>
      <c r="F17" s="46">
        <f>C17*E17</f>
        <v>8750</v>
      </c>
      <c r="G17" s="200">
        <f>F17/$C$5</f>
        <v>175</v>
      </c>
      <c r="H17" s="211"/>
    </row>
    <row r="18" spans="2:8" x14ac:dyDescent="0.25">
      <c r="B18" s="134" t="s">
        <v>88</v>
      </c>
      <c r="C18" s="7">
        <v>25</v>
      </c>
      <c r="D18" s="7" t="s">
        <v>12</v>
      </c>
      <c r="E18" s="45">
        <v>135</v>
      </c>
      <c r="F18" s="46">
        <f t="shared" ref="F18:F19" si="2">C18*E18</f>
        <v>3375</v>
      </c>
      <c r="G18" s="200">
        <f t="shared" ref="G18:G19" si="3">F18/$C$5</f>
        <v>67.5</v>
      </c>
      <c r="H18" s="211"/>
    </row>
    <row r="19" spans="2:8" x14ac:dyDescent="0.25">
      <c r="B19" s="134" t="s">
        <v>89</v>
      </c>
      <c r="C19" s="7">
        <v>15</v>
      </c>
      <c r="D19" s="7" t="s">
        <v>93</v>
      </c>
      <c r="E19" s="45">
        <v>175</v>
      </c>
      <c r="F19" s="46">
        <f t="shared" si="2"/>
        <v>2625</v>
      </c>
      <c r="G19" s="200">
        <f t="shared" si="3"/>
        <v>52.5</v>
      </c>
      <c r="H19" s="211"/>
    </row>
    <row r="20" spans="2:8" x14ac:dyDescent="0.25">
      <c r="B20" s="147" t="s">
        <v>95</v>
      </c>
      <c r="C20" s="148"/>
      <c r="D20" s="148"/>
      <c r="E20" s="229"/>
      <c r="F20" s="229">
        <f>SUM(F17:F19)</f>
        <v>14750</v>
      </c>
      <c r="G20" s="229">
        <f>SUM(G17:G19)</f>
        <v>295</v>
      </c>
      <c r="H20" s="229">
        <f>SUM(H17:H19)</f>
        <v>0</v>
      </c>
    </row>
    <row r="21" spans="2:8" x14ac:dyDescent="0.25">
      <c r="B21" s="136" t="s">
        <v>90</v>
      </c>
      <c r="C21" s="12"/>
      <c r="D21" s="12"/>
      <c r="E21" s="12"/>
      <c r="F21" s="13"/>
      <c r="G21" s="209"/>
      <c r="H21" s="14"/>
    </row>
    <row r="22" spans="2:8" x14ac:dyDescent="0.25">
      <c r="B22" s="134" t="s">
        <v>91</v>
      </c>
      <c r="C22" s="7">
        <v>500</v>
      </c>
      <c r="D22" s="7" t="s">
        <v>18</v>
      </c>
      <c r="E22" s="45">
        <v>1</v>
      </c>
      <c r="F22" s="46">
        <f>C22*E22</f>
        <v>500</v>
      </c>
      <c r="G22" s="200">
        <f>F22/$C$5</f>
        <v>10</v>
      </c>
      <c r="H22" s="211"/>
    </row>
    <row r="23" spans="2:8" x14ac:dyDescent="0.25">
      <c r="B23" s="134" t="s">
        <v>92</v>
      </c>
      <c r="C23" s="7">
        <v>50</v>
      </c>
      <c r="D23" s="7" t="s">
        <v>12</v>
      </c>
      <c r="E23" s="45">
        <v>3</v>
      </c>
      <c r="F23" s="46">
        <f>C23*E23</f>
        <v>150</v>
      </c>
      <c r="G23" s="200">
        <f>F23/$C$5</f>
        <v>3</v>
      </c>
      <c r="H23" s="211"/>
    </row>
    <row r="24" spans="2:8" x14ac:dyDescent="0.25">
      <c r="B24" s="147" t="s">
        <v>24</v>
      </c>
      <c r="C24" s="148"/>
      <c r="D24" s="148"/>
      <c r="E24" s="229"/>
      <c r="F24" s="229">
        <f>SUM(F22:F23)</f>
        <v>650</v>
      </c>
      <c r="G24" s="229">
        <f>SUM(G22:G23)</f>
        <v>13</v>
      </c>
      <c r="H24" s="229">
        <f>SUM(H22:H23)</f>
        <v>0</v>
      </c>
    </row>
    <row r="25" spans="2:8" x14ac:dyDescent="0.25">
      <c r="B25" s="133" t="s">
        <v>94</v>
      </c>
      <c r="C25" s="12"/>
      <c r="D25" s="12"/>
      <c r="E25" s="12"/>
      <c r="F25" s="15"/>
      <c r="G25" s="210"/>
      <c r="H25" s="16"/>
    </row>
    <row r="26" spans="2:8" x14ac:dyDescent="0.25">
      <c r="B26" s="134" t="s">
        <v>115</v>
      </c>
      <c r="C26" s="7">
        <v>100</v>
      </c>
      <c r="D26" s="7"/>
      <c r="E26" s="45">
        <v>4</v>
      </c>
      <c r="F26" s="46">
        <f>C26*E26</f>
        <v>400</v>
      </c>
      <c r="G26" s="200">
        <f>F26/$C$5</f>
        <v>8</v>
      </c>
      <c r="H26" s="211"/>
    </row>
    <row r="27" spans="2:8" x14ac:dyDescent="0.25">
      <c r="B27" s="134" t="s">
        <v>116</v>
      </c>
      <c r="C27" s="7">
        <v>1</v>
      </c>
      <c r="D27" s="7"/>
      <c r="E27" s="45">
        <v>130</v>
      </c>
      <c r="F27" s="46">
        <f>C27*E27</f>
        <v>130</v>
      </c>
      <c r="G27" s="200">
        <f>F27/$C$5</f>
        <v>2.6</v>
      </c>
      <c r="H27" s="211"/>
    </row>
    <row r="28" spans="2:8" x14ac:dyDescent="0.25">
      <c r="B28" s="213" t="s">
        <v>95</v>
      </c>
      <c r="C28" s="118"/>
      <c r="D28" s="118"/>
      <c r="E28" s="230"/>
      <c r="F28" s="229">
        <f>SUM(F26:F27)</f>
        <v>530</v>
      </c>
      <c r="G28" s="229">
        <f>SUM(G26:G27)</f>
        <v>10.6</v>
      </c>
      <c r="H28" s="229">
        <f>SUM(H26:H27)</f>
        <v>0</v>
      </c>
    </row>
    <row r="29" spans="2:8" x14ac:dyDescent="0.25">
      <c r="B29" s="133" t="s">
        <v>96</v>
      </c>
      <c r="C29" s="12"/>
      <c r="D29" s="12"/>
      <c r="E29" s="12"/>
      <c r="F29" s="15"/>
      <c r="G29" s="210"/>
      <c r="H29" s="16"/>
    </row>
    <row r="30" spans="2:8" x14ac:dyDescent="0.25">
      <c r="B30" s="134" t="s">
        <v>97</v>
      </c>
      <c r="C30" s="7">
        <v>24</v>
      </c>
      <c r="D30" s="7" t="s">
        <v>23</v>
      </c>
      <c r="E30" s="9">
        <v>15</v>
      </c>
      <c r="F30" s="10">
        <f>C30*E30</f>
        <v>360</v>
      </c>
      <c r="G30" s="207">
        <f>F30/$C$5</f>
        <v>7.2</v>
      </c>
      <c r="H30" s="48"/>
    </row>
    <row r="31" spans="2:8" x14ac:dyDescent="0.25">
      <c r="B31" s="134" t="s">
        <v>98</v>
      </c>
      <c r="C31" s="7">
        <v>1</v>
      </c>
      <c r="D31" s="7"/>
      <c r="E31" s="9">
        <v>100</v>
      </c>
      <c r="F31" s="10">
        <f t="shared" ref="F31:F33" si="4">C31*E31</f>
        <v>100</v>
      </c>
      <c r="G31" s="207">
        <f t="shared" ref="G31:G33" si="5">F31/$C$5</f>
        <v>2</v>
      </c>
      <c r="H31" s="48"/>
    </row>
    <row r="32" spans="2:8" x14ac:dyDescent="0.25">
      <c r="B32" s="134" t="s">
        <v>99</v>
      </c>
      <c r="C32" s="7">
        <v>3250</v>
      </c>
      <c r="D32" s="7" t="s">
        <v>12</v>
      </c>
      <c r="E32" s="9">
        <v>0.75</v>
      </c>
      <c r="F32" s="10">
        <f t="shared" si="4"/>
        <v>2437.5</v>
      </c>
      <c r="G32" s="207">
        <f t="shared" si="5"/>
        <v>48.75</v>
      </c>
      <c r="H32" s="48"/>
    </row>
    <row r="33" spans="2:8" x14ac:dyDescent="0.25">
      <c r="B33" s="134" t="s">
        <v>100</v>
      </c>
      <c r="C33" s="7">
        <v>3250</v>
      </c>
      <c r="D33" s="7" t="s">
        <v>12</v>
      </c>
      <c r="E33" s="9">
        <v>0.17</v>
      </c>
      <c r="F33" s="10">
        <f t="shared" si="4"/>
        <v>552.5</v>
      </c>
      <c r="G33" s="207">
        <f t="shared" si="5"/>
        <v>11.05</v>
      </c>
      <c r="H33" s="48"/>
    </row>
    <row r="34" spans="2:8" x14ac:dyDescent="0.25">
      <c r="B34" s="147" t="s">
        <v>95</v>
      </c>
      <c r="C34" s="118"/>
      <c r="D34" s="118"/>
      <c r="E34" s="149"/>
      <c r="F34" s="117">
        <f>SUM(F30:F33)</f>
        <v>3450</v>
      </c>
      <c r="G34" s="117">
        <f>SUM(G30:G33)</f>
        <v>69</v>
      </c>
      <c r="H34" s="117">
        <f>SUM(H30:H33)</f>
        <v>0</v>
      </c>
    </row>
    <row r="35" spans="2:8" x14ac:dyDescent="0.25">
      <c r="B35" s="136" t="s">
        <v>25</v>
      </c>
      <c r="C35" s="7"/>
      <c r="D35" s="7"/>
      <c r="E35" s="45"/>
      <c r="F35" s="46"/>
      <c r="G35" s="200"/>
      <c r="H35" s="211"/>
    </row>
    <row r="36" spans="2:8" x14ac:dyDescent="0.25">
      <c r="B36" s="134" t="s">
        <v>101</v>
      </c>
      <c r="C36" s="7">
        <v>1</v>
      </c>
      <c r="D36" s="7"/>
      <c r="E36" s="45">
        <v>250</v>
      </c>
      <c r="F36" s="46">
        <f>C36*E36</f>
        <v>250</v>
      </c>
      <c r="G36" s="200">
        <f>F36/$C$5</f>
        <v>5</v>
      </c>
      <c r="H36" s="211"/>
    </row>
    <row r="37" spans="2:8" x14ac:dyDescent="0.25">
      <c r="B37" s="134" t="s">
        <v>16</v>
      </c>
      <c r="C37" s="12"/>
      <c r="D37" s="12"/>
      <c r="E37" s="45"/>
      <c r="F37" s="46">
        <f>'HONEYBEE_FIXED COST'!K37</f>
        <v>240</v>
      </c>
      <c r="G37" s="200">
        <f t="shared" ref="G37:G38" si="6">F37/$C$5</f>
        <v>4.8</v>
      </c>
      <c r="H37" s="211"/>
    </row>
    <row r="38" spans="2:8" x14ac:dyDescent="0.25">
      <c r="B38" s="134" t="s">
        <v>4</v>
      </c>
      <c r="C38" s="5"/>
      <c r="D38" s="5"/>
      <c r="E38" s="238">
        <v>0.05</v>
      </c>
      <c r="F38" s="46">
        <f>(SUM(F17:F19,F22:F23,F26:F27,F30:F33,F36:F37)*E38)</f>
        <v>993.5</v>
      </c>
      <c r="G38" s="200">
        <f t="shared" si="6"/>
        <v>19.87</v>
      </c>
      <c r="H38" s="211"/>
    </row>
    <row r="39" spans="2:8" x14ac:dyDescent="0.25">
      <c r="B39" s="135" t="s">
        <v>7</v>
      </c>
      <c r="C39" s="5"/>
      <c r="D39" s="5"/>
      <c r="E39" s="231"/>
      <c r="F39" s="129">
        <f>SUM(F36:F38)</f>
        <v>1483.5</v>
      </c>
      <c r="G39" s="232">
        <f>F39/$C$5</f>
        <v>29.67</v>
      </c>
      <c r="H39" s="233"/>
    </row>
    <row r="40" spans="2:8" ht="15.75" thickBot="1" x14ac:dyDescent="0.3">
      <c r="B40" s="130" t="s">
        <v>41</v>
      </c>
      <c r="C40" s="66"/>
      <c r="D40" s="66"/>
      <c r="E40" s="226"/>
      <c r="F40" s="227">
        <f>SUM(F20+F24+F28+F34+F39)</f>
        <v>20863.5</v>
      </c>
      <c r="G40" s="227">
        <f>SUM(G20+G24+G28+G34+G39)</f>
        <v>417.27000000000004</v>
      </c>
      <c r="H40" s="227">
        <f t="shared" ref="H40" si="7">SUM(H20+H24+H28+H34+H39)</f>
        <v>0</v>
      </c>
    </row>
    <row r="41" spans="2:8" ht="15.75" thickBot="1" x14ac:dyDescent="0.3">
      <c r="B41" s="4"/>
      <c r="C41" s="4"/>
      <c r="D41" s="4"/>
      <c r="E41" s="6"/>
      <c r="F41" s="4"/>
      <c r="G41" s="4"/>
      <c r="H41" s="4"/>
    </row>
    <row r="42" spans="2:8" x14ac:dyDescent="0.25">
      <c r="B42" s="256" t="s">
        <v>35</v>
      </c>
      <c r="C42" s="257"/>
      <c r="D42" s="257"/>
      <c r="E42" s="257"/>
      <c r="F42" s="257"/>
      <c r="G42" s="257"/>
      <c r="H42" s="258"/>
    </row>
    <row r="43" spans="2:8" x14ac:dyDescent="0.25">
      <c r="B43" s="139" t="s">
        <v>0</v>
      </c>
      <c r="C43" s="140"/>
      <c r="D43" s="140"/>
      <c r="E43" s="140"/>
      <c r="F43" s="140" t="s">
        <v>106</v>
      </c>
      <c r="G43" s="141" t="s">
        <v>107</v>
      </c>
      <c r="H43" s="141"/>
    </row>
    <row r="44" spans="2:8" x14ac:dyDescent="0.25">
      <c r="B44" s="223" t="s">
        <v>103</v>
      </c>
      <c r="C44" s="5"/>
      <c r="D44" s="5"/>
      <c r="E44" s="231"/>
      <c r="F44" s="46">
        <f>'HONEYBEE_FIXED COST'!O18</f>
        <v>2414.8560000000002</v>
      </c>
      <c r="G44" s="200">
        <f>F44/$C$5</f>
        <v>48.297120000000007</v>
      </c>
      <c r="H44" s="211"/>
    </row>
    <row r="45" spans="2:8" x14ac:dyDescent="0.25">
      <c r="B45" s="224" t="s">
        <v>34</v>
      </c>
      <c r="C45" s="5"/>
      <c r="D45" s="5"/>
      <c r="E45" s="231"/>
      <c r="F45" s="46">
        <f>'HONEYBEE_FIXED COST'!O37</f>
        <v>381.71857499999999</v>
      </c>
      <c r="G45" s="200">
        <f t="shared" ref="G45:G46" si="8">F45/$C$5</f>
        <v>7.6343714999999994</v>
      </c>
      <c r="H45" s="211"/>
    </row>
    <row r="46" spans="2:8" ht="15.75" thickBot="1" x14ac:dyDescent="0.3">
      <c r="B46" s="225" t="s">
        <v>5</v>
      </c>
      <c r="C46" s="150"/>
      <c r="D46" s="150"/>
      <c r="E46" s="234"/>
      <c r="F46" s="57">
        <f>'HONEYBEE_FIXED COST'!O42</f>
        <v>126</v>
      </c>
      <c r="G46" s="200">
        <f t="shared" si="8"/>
        <v>2.52</v>
      </c>
      <c r="H46" s="212"/>
    </row>
    <row r="47" spans="2:8" ht="15.75" thickBot="1" x14ac:dyDescent="0.3">
      <c r="B47" s="154" t="s">
        <v>38</v>
      </c>
      <c r="C47" s="155"/>
      <c r="D47" s="155"/>
      <c r="E47" s="235"/>
      <c r="F47" s="156">
        <f>SUM(F44:F46)</f>
        <v>2922.5745750000001</v>
      </c>
      <c r="G47" s="156">
        <f>SUM(G44:G46)</f>
        <v>58.45149150000001</v>
      </c>
      <c r="H47" s="157">
        <f>SUM(H44:H46)</f>
        <v>0</v>
      </c>
    </row>
    <row r="48" spans="2:8" ht="15.75" thickBot="1" x14ac:dyDescent="0.3">
      <c r="B48" s="151" t="s">
        <v>39</v>
      </c>
      <c r="C48" s="113"/>
      <c r="D48" s="113"/>
      <c r="E48" s="236"/>
      <c r="F48" s="152">
        <f>SUM(F40+F47)</f>
        <v>23786.074574999999</v>
      </c>
      <c r="G48" s="152">
        <f>SUM(G40+G47)</f>
        <v>475.72149150000007</v>
      </c>
      <c r="H48" s="153">
        <f>SUM(H40+H47)</f>
        <v>0</v>
      </c>
    </row>
    <row r="49" spans="2:8" ht="15.75" thickBot="1" x14ac:dyDescent="0.3">
      <c r="B49" s="114"/>
      <c r="C49" s="18"/>
      <c r="D49" s="18"/>
      <c r="E49" s="18"/>
      <c r="F49" s="19"/>
      <c r="G49" s="19"/>
      <c r="H49" s="18"/>
    </row>
    <row r="50" spans="2:8" x14ac:dyDescent="0.25">
      <c r="B50" s="127" t="s">
        <v>42</v>
      </c>
      <c r="C50" s="142"/>
      <c r="D50" s="142"/>
      <c r="E50" s="142"/>
      <c r="F50" s="143"/>
      <c r="G50" s="143"/>
      <c r="H50" s="144"/>
    </row>
    <row r="51" spans="2:8" x14ac:dyDescent="0.25">
      <c r="B51" s="139" t="s">
        <v>0</v>
      </c>
      <c r="C51" s="145"/>
      <c r="D51" s="145"/>
      <c r="E51" s="145"/>
      <c r="F51" s="122" t="s">
        <v>106</v>
      </c>
      <c r="G51" s="141" t="s">
        <v>107</v>
      </c>
      <c r="H51" s="146" t="s">
        <v>107</v>
      </c>
    </row>
    <row r="52" spans="2:8" x14ac:dyDescent="0.25">
      <c r="B52" s="133" t="s">
        <v>40</v>
      </c>
      <c r="C52" s="12"/>
      <c r="D52" s="12"/>
      <c r="E52" s="62"/>
      <c r="F52" s="129">
        <f>F12-F40</f>
        <v>-4863.5</v>
      </c>
      <c r="G52" s="129">
        <f>G12-G40</f>
        <v>-97.270000000000039</v>
      </c>
      <c r="H52" s="129">
        <f>H12-H40</f>
        <v>0</v>
      </c>
    </row>
    <row r="53" spans="2:8" x14ac:dyDescent="0.25">
      <c r="B53" s="133" t="s">
        <v>109</v>
      </c>
      <c r="C53" s="12"/>
      <c r="D53" s="12"/>
      <c r="E53" s="62"/>
      <c r="F53" s="129">
        <f>F12-F47</f>
        <v>13077.425424999999</v>
      </c>
      <c r="G53" s="129">
        <f>G12-G47</f>
        <v>261.54850849999997</v>
      </c>
      <c r="H53" s="129">
        <f>H12-H47</f>
        <v>0</v>
      </c>
    </row>
    <row r="54" spans="2:8" ht="15.75" thickBot="1" x14ac:dyDescent="0.3">
      <c r="B54" s="137" t="s">
        <v>108</v>
      </c>
      <c r="C54" s="17"/>
      <c r="D54" s="17"/>
      <c r="E54" s="237"/>
      <c r="F54" s="138">
        <f>F12-F48</f>
        <v>-7786.0745749999987</v>
      </c>
      <c r="G54" s="138">
        <f>G12-G48</f>
        <v>-155.72149150000007</v>
      </c>
      <c r="H54" s="138">
        <f>H12-H48</f>
        <v>0</v>
      </c>
    </row>
    <row r="56" spans="2:8" x14ac:dyDescent="0.25">
      <c r="B56" s="20"/>
    </row>
    <row r="57" spans="2:8" x14ac:dyDescent="0.25">
      <c r="B57" s="20"/>
      <c r="C57" s="20"/>
      <c r="D57" s="20"/>
      <c r="E57" s="21"/>
      <c r="F57" s="21"/>
      <c r="G57" s="21"/>
      <c r="H57" s="21"/>
    </row>
    <row r="58" spans="2:8" x14ac:dyDescent="0.25">
      <c r="B58" s="20"/>
      <c r="C58" s="20"/>
      <c r="D58" s="20"/>
      <c r="E58" s="21"/>
      <c r="F58" s="21"/>
      <c r="G58" s="21"/>
      <c r="H58" s="21"/>
    </row>
  </sheetData>
  <mergeCells count="4">
    <mergeCell ref="B13:F13"/>
    <mergeCell ref="B2:H2"/>
    <mergeCell ref="B3:H3"/>
    <mergeCell ref="B42:H42"/>
  </mergeCells>
  <conditionalFormatting sqref="F52:H54">
    <cfRule type="cellIs" dxfId="5" priority="2" operator="lessThan">
      <formula>0</formula>
    </cfRule>
    <cfRule type="cellIs" priority="3" operator="lessThanOrEqual">
      <formula>0</formula>
    </cfRule>
    <cfRule type="cellIs" dxfId="4" priority="4" operator="greaterThan">
      <formula>0</formula>
    </cfRule>
  </conditionalFormatting>
  <conditionalFormatting sqref="F57:G57">
    <cfRule type="cellIs" dxfId="3" priority="1" operator="greater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2"/>
  <sheetViews>
    <sheetView workbookViewId="0">
      <selection activeCell="E33" sqref="E33"/>
    </sheetView>
  </sheetViews>
  <sheetFormatPr defaultRowHeight="15" x14ac:dyDescent="0.25"/>
  <cols>
    <col min="1" max="2" width="9.140625" style="73"/>
    <col min="3" max="3" width="14.140625" style="73" bestFit="1" customWidth="1"/>
    <col min="4" max="4" width="12.7109375" style="73" bestFit="1" customWidth="1"/>
    <col min="5" max="7" width="13.5703125" style="73" bestFit="1" customWidth="1"/>
    <col min="8" max="8" width="14.28515625" style="73" bestFit="1" customWidth="1"/>
    <col min="9" max="9" width="14.28515625" style="73" customWidth="1"/>
    <col min="10" max="10" width="14.28515625" style="73" bestFit="1" customWidth="1"/>
    <col min="11" max="11" width="14.28515625" style="73" customWidth="1"/>
    <col min="12" max="16384" width="9.140625" style="73"/>
  </cols>
  <sheetData>
    <row r="1" spans="2:11" ht="15.75" thickBot="1" x14ac:dyDescent="0.3"/>
    <row r="2" spans="2:11" ht="19.5" thickBot="1" x14ac:dyDescent="0.35">
      <c r="B2" s="241" t="s">
        <v>45</v>
      </c>
      <c r="C2" s="251"/>
      <c r="D2" s="251"/>
      <c r="E2" s="251"/>
      <c r="F2" s="251"/>
      <c r="G2" s="251"/>
      <c r="H2" s="251"/>
      <c r="I2" s="251"/>
      <c r="J2" s="251"/>
      <c r="K2" s="252"/>
    </row>
    <row r="3" spans="2:11" ht="19.5" thickBot="1" x14ac:dyDescent="0.35">
      <c r="B3" s="259" t="s">
        <v>26</v>
      </c>
      <c r="C3" s="260"/>
      <c r="D3" s="260"/>
      <c r="E3" s="260"/>
      <c r="F3" s="260"/>
      <c r="G3" s="260"/>
      <c r="H3" s="260"/>
      <c r="I3" s="260"/>
      <c r="J3" s="260"/>
      <c r="K3" s="261"/>
    </row>
    <row r="4" spans="2:11" ht="16.5" thickBot="1" x14ac:dyDescent="0.3">
      <c r="B4" s="262" t="s">
        <v>27</v>
      </c>
      <c r="C4" s="263"/>
      <c r="D4" s="263"/>
      <c r="E4" s="263"/>
      <c r="F4" s="263"/>
      <c r="G4" s="263"/>
      <c r="H4" s="263"/>
      <c r="I4" s="263"/>
      <c r="J4" s="263"/>
      <c r="K4" s="264"/>
    </row>
    <row r="5" spans="2:11" ht="16.5" thickBot="1" x14ac:dyDescent="0.3">
      <c r="B5" s="265" t="s">
        <v>120</v>
      </c>
      <c r="C5" s="266"/>
      <c r="D5" s="266"/>
      <c r="E5" s="266"/>
      <c r="F5" s="266"/>
      <c r="G5" s="266"/>
      <c r="H5" s="266"/>
      <c r="I5" s="266"/>
      <c r="J5" s="266"/>
      <c r="K5" s="267"/>
    </row>
    <row r="6" spans="2:11" ht="15.75" x14ac:dyDescent="0.25">
      <c r="B6" s="74"/>
      <c r="C6" s="75"/>
      <c r="D6" s="76"/>
      <c r="E6" s="268" t="s">
        <v>28</v>
      </c>
      <c r="F6" s="269"/>
      <c r="G6" s="270"/>
      <c r="H6" s="77"/>
      <c r="I6" s="268" t="s">
        <v>29</v>
      </c>
      <c r="J6" s="269"/>
      <c r="K6" s="271"/>
    </row>
    <row r="7" spans="2:11" x14ac:dyDescent="0.25">
      <c r="B7" s="74"/>
      <c r="C7" s="75"/>
      <c r="D7" s="76"/>
      <c r="E7" s="78">
        <v>0.5</v>
      </c>
      <c r="F7" s="79">
        <v>0.25</v>
      </c>
      <c r="G7" s="79">
        <v>0.1</v>
      </c>
      <c r="H7" s="80" t="s">
        <v>44</v>
      </c>
      <c r="I7" s="79">
        <v>0.1</v>
      </c>
      <c r="J7" s="79">
        <v>0.25</v>
      </c>
      <c r="K7" s="81">
        <v>0.5</v>
      </c>
    </row>
    <row r="8" spans="2:11" x14ac:dyDescent="0.25">
      <c r="B8" s="82"/>
      <c r="C8" s="83"/>
      <c r="D8" s="84"/>
      <c r="E8" s="85">
        <f>ROUND((H8*(1-E7)),2)</f>
        <v>4</v>
      </c>
      <c r="F8" s="86">
        <f>ROUND((H8*(1-F7)),2)</f>
        <v>6</v>
      </c>
      <c r="G8" s="86">
        <f>ROUND((H8*(1-G7)),2)</f>
        <v>7.2</v>
      </c>
      <c r="H8" s="87">
        <f>'HONEYBEE_ENTERPRISE BUDGET'!E9</f>
        <v>8</v>
      </c>
      <c r="I8" s="86">
        <f>ROUND(($H$8*(1+I$7)),2)</f>
        <v>8.8000000000000007</v>
      </c>
      <c r="J8" s="86">
        <f t="shared" ref="J8:K8" si="0">ROUND(($H$8*(1+J$7)),2)</f>
        <v>10</v>
      </c>
      <c r="K8" s="88">
        <f t="shared" si="0"/>
        <v>12</v>
      </c>
    </row>
    <row r="9" spans="2:11" x14ac:dyDescent="0.25">
      <c r="B9" s="276" t="s">
        <v>30</v>
      </c>
      <c r="C9" s="89">
        <v>0.5</v>
      </c>
      <c r="D9" s="90">
        <f>ROUND($D$12*(1-$C9),2)</f>
        <v>1000</v>
      </c>
      <c r="E9" s="91">
        <f>($D9*E$8)-'HONEYBEE_ENTERPRISE BUDGET'!$F$48</f>
        <v>-19786.074574999999</v>
      </c>
      <c r="F9" s="91">
        <f>($D9*F$8)-'HONEYBEE_ENTERPRISE BUDGET'!$F$48</f>
        <v>-17786.074574999999</v>
      </c>
      <c r="G9" s="91">
        <f>($D9*G$8)-'HONEYBEE_ENTERPRISE BUDGET'!$F$48</f>
        <v>-16586.074574999999</v>
      </c>
      <c r="H9" s="91">
        <f>($D9*H$8)-'HONEYBEE_ENTERPRISE BUDGET'!$F$48</f>
        <v>-15786.074574999999</v>
      </c>
      <c r="I9" s="91">
        <f>($D9*I$8)-'HONEYBEE_ENTERPRISE BUDGET'!$F$48</f>
        <v>-14986.074574999999</v>
      </c>
      <c r="J9" s="91">
        <f>($D9*J$8)-'HONEYBEE_ENTERPRISE BUDGET'!$F$48</f>
        <v>-13786.074574999999</v>
      </c>
      <c r="K9" s="92">
        <f>($D9*K$8)-'HONEYBEE_ENTERPRISE BUDGET'!$F$48</f>
        <v>-11786.074574999999</v>
      </c>
    </row>
    <row r="10" spans="2:11" x14ac:dyDescent="0.25">
      <c r="B10" s="277"/>
      <c r="C10" s="93">
        <v>0.25</v>
      </c>
      <c r="D10" s="94">
        <f t="shared" ref="D10" si="1">ROUND($D$12*(1-$C10),2)</f>
        <v>1500</v>
      </c>
      <c r="E10" s="91">
        <f>($D10*E$8)-'HONEYBEE_ENTERPRISE BUDGET'!$F$48</f>
        <v>-17786.074574999999</v>
      </c>
      <c r="F10" s="91">
        <f>($D10*F$8)-'HONEYBEE_ENTERPRISE BUDGET'!$F$48</f>
        <v>-14786.074574999999</v>
      </c>
      <c r="G10" s="91">
        <f>($D10*G$8)-'HONEYBEE_ENTERPRISE BUDGET'!$F$48</f>
        <v>-12986.074574999999</v>
      </c>
      <c r="H10" s="91">
        <f>($D10*H$8)-'HONEYBEE_ENTERPRISE BUDGET'!$F$48</f>
        <v>-11786.074574999999</v>
      </c>
      <c r="I10" s="91">
        <f>($D10*I$8)-'HONEYBEE_ENTERPRISE BUDGET'!$F$48</f>
        <v>-10586.074574999997</v>
      </c>
      <c r="J10" s="91">
        <f>($D10*J$8)-'HONEYBEE_ENTERPRISE BUDGET'!$F$48</f>
        <v>-8786.0745749999987</v>
      </c>
      <c r="K10" s="92">
        <f>($D10*K$8)-'HONEYBEE_ENTERPRISE BUDGET'!$F$48</f>
        <v>-5786.0745749999987</v>
      </c>
    </row>
    <row r="11" spans="2:11" x14ac:dyDescent="0.25">
      <c r="B11" s="278"/>
      <c r="C11" s="93">
        <v>0.1</v>
      </c>
      <c r="D11" s="94">
        <f>ROUND($D$12*(1-$C11),2)</f>
        <v>1800</v>
      </c>
      <c r="E11" s="91">
        <f>($D11*E$8)-'HONEYBEE_ENTERPRISE BUDGET'!$F$48</f>
        <v>-16586.074574999999</v>
      </c>
      <c r="F11" s="91">
        <f>($D11*F$8)-'HONEYBEE_ENTERPRISE BUDGET'!$F$48</f>
        <v>-12986.074574999999</v>
      </c>
      <c r="G11" s="91">
        <f>($D11*G$8)-'HONEYBEE_ENTERPRISE BUDGET'!$F$48</f>
        <v>-10826.074574999999</v>
      </c>
      <c r="H11" s="91">
        <f>($D11*H$8)-'HONEYBEE_ENTERPRISE BUDGET'!$F$48</f>
        <v>-9386.0745749999987</v>
      </c>
      <c r="I11" s="91">
        <f>($D11*I$8)-'HONEYBEE_ENTERPRISE BUDGET'!$F$48</f>
        <v>-7946.0745749999969</v>
      </c>
      <c r="J11" s="91">
        <f>($D11*J$8)-'HONEYBEE_ENTERPRISE BUDGET'!$F$48</f>
        <v>-5786.0745749999987</v>
      </c>
      <c r="K11" s="92">
        <f>($D11*K$8)-'HONEYBEE_ENTERPRISE BUDGET'!$F$48</f>
        <v>-2186.0745749999987</v>
      </c>
    </row>
    <row r="12" spans="2:11" x14ac:dyDescent="0.25">
      <c r="B12" s="95"/>
      <c r="C12" s="96" t="s">
        <v>43</v>
      </c>
      <c r="D12" s="97">
        <f>'HONEYBEE_ENTERPRISE BUDGET'!C9</f>
        <v>2000</v>
      </c>
      <c r="E12" s="91">
        <f>($D12*E$8)-'HONEYBEE_ENTERPRISE BUDGET'!$F$48</f>
        <v>-15786.074574999999</v>
      </c>
      <c r="F12" s="91">
        <f>($D12*F$8)-'HONEYBEE_ENTERPRISE BUDGET'!$F$48</f>
        <v>-11786.074574999999</v>
      </c>
      <c r="G12" s="91">
        <f>($D12*G$8)-'HONEYBEE_ENTERPRISE BUDGET'!$F$48</f>
        <v>-9386.0745749999987</v>
      </c>
      <c r="H12" s="91">
        <f>($D12*H$8)-'HONEYBEE_ENTERPRISE BUDGET'!$F$48</f>
        <v>-7786.0745749999987</v>
      </c>
      <c r="I12" s="91">
        <f>($D12*I$8)-'HONEYBEE_ENTERPRISE BUDGET'!$F$48</f>
        <v>-6186.0745749999987</v>
      </c>
      <c r="J12" s="91">
        <f>($D12*J$8)-'HONEYBEE_ENTERPRISE BUDGET'!$F$48</f>
        <v>-3786.0745749999987</v>
      </c>
      <c r="K12" s="92">
        <f>($D12*K$8)-'HONEYBEE_ENTERPRISE BUDGET'!$F$48</f>
        <v>213.92542500000127</v>
      </c>
    </row>
    <row r="13" spans="2:11" x14ac:dyDescent="0.25">
      <c r="B13" s="272" t="s">
        <v>31</v>
      </c>
      <c r="C13" s="79">
        <v>0.1</v>
      </c>
      <c r="D13" s="94">
        <f>ROUND($D$12*(1+$C13),2)</f>
        <v>2200</v>
      </c>
      <c r="E13" s="91">
        <f>($D13*E$8)-'HONEYBEE_ENTERPRISE BUDGET'!$F$48</f>
        <v>-14986.074574999999</v>
      </c>
      <c r="F13" s="91">
        <f>($D13*F$8)-'HONEYBEE_ENTERPRISE BUDGET'!$F$48</f>
        <v>-10586.074574999999</v>
      </c>
      <c r="G13" s="91">
        <f>($D13*G$8)-'HONEYBEE_ENTERPRISE BUDGET'!$F$48</f>
        <v>-7946.0745749999987</v>
      </c>
      <c r="H13" s="91">
        <f>($D13*H$8)-'HONEYBEE_ENTERPRISE BUDGET'!$F$48</f>
        <v>-6186.0745749999987</v>
      </c>
      <c r="I13" s="91">
        <f>($D13*I$8)-'HONEYBEE_ENTERPRISE BUDGET'!$F$48</f>
        <v>-4426.0745749999987</v>
      </c>
      <c r="J13" s="91">
        <f>($D13*J$8)-'HONEYBEE_ENTERPRISE BUDGET'!$F$48</f>
        <v>-1786.0745749999987</v>
      </c>
      <c r="K13" s="92">
        <f>($D13*K$8)-'HONEYBEE_ENTERPRISE BUDGET'!$F$48</f>
        <v>2613.9254250000013</v>
      </c>
    </row>
    <row r="14" spans="2:11" x14ac:dyDescent="0.25">
      <c r="B14" s="273"/>
      <c r="C14" s="79">
        <v>0.25</v>
      </c>
      <c r="D14" s="94">
        <f>ROUND($D$12*(1+$C14),2)</f>
        <v>2500</v>
      </c>
      <c r="E14" s="91">
        <f>($D14*E$8)-'HONEYBEE_ENTERPRISE BUDGET'!$F$48</f>
        <v>-13786.074574999999</v>
      </c>
      <c r="F14" s="91">
        <f>($D14*F$8)-'HONEYBEE_ENTERPRISE BUDGET'!$F$48</f>
        <v>-8786.0745749999987</v>
      </c>
      <c r="G14" s="91">
        <f>($D14*G$8)-'HONEYBEE_ENTERPRISE BUDGET'!$F$48</f>
        <v>-5786.0745749999987</v>
      </c>
      <c r="H14" s="91">
        <f>($D14*H$8)-'HONEYBEE_ENTERPRISE BUDGET'!$F$48</f>
        <v>-3786.0745749999987</v>
      </c>
      <c r="I14" s="91">
        <f>($D14*I$8)-'HONEYBEE_ENTERPRISE BUDGET'!$F$48</f>
        <v>-1786.0745749999987</v>
      </c>
      <c r="J14" s="91">
        <f>($D14*J$8)-'HONEYBEE_ENTERPRISE BUDGET'!$F$48</f>
        <v>1213.9254250000013</v>
      </c>
      <c r="K14" s="92">
        <f>($D14*K$8)-'HONEYBEE_ENTERPRISE BUDGET'!$F$48</f>
        <v>6213.9254250000013</v>
      </c>
    </row>
    <row r="15" spans="2:11" ht="15.75" thickBot="1" x14ac:dyDescent="0.3">
      <c r="B15" s="275"/>
      <c r="C15" s="98">
        <v>0.5</v>
      </c>
      <c r="D15" s="99">
        <f>ROUND($D$12*(1+$C15),2)</f>
        <v>3000</v>
      </c>
      <c r="E15" s="100">
        <f>($D15*E$8)-'HONEYBEE_ENTERPRISE BUDGET'!$F$48</f>
        <v>-11786.074574999999</v>
      </c>
      <c r="F15" s="100">
        <f>($D15*F$8)-'HONEYBEE_ENTERPRISE BUDGET'!$F$48</f>
        <v>-5786.0745749999987</v>
      </c>
      <c r="G15" s="100">
        <f>($D15*G$8)-'HONEYBEE_ENTERPRISE BUDGET'!$F$48</f>
        <v>-2186.0745749999987</v>
      </c>
      <c r="H15" s="100">
        <f>($D15*H$8)-'HONEYBEE_ENTERPRISE BUDGET'!$F$48</f>
        <v>213.92542500000127</v>
      </c>
      <c r="I15" s="100">
        <f>($D15*I$8)-'HONEYBEE_ENTERPRISE BUDGET'!$F$48</f>
        <v>2613.9254250000049</v>
      </c>
      <c r="J15" s="100">
        <f>($D15*J$8)-'HONEYBEE_ENTERPRISE BUDGET'!$F$48</f>
        <v>6213.9254250000013</v>
      </c>
      <c r="K15" s="101">
        <f>($D15*K$8)-'HONEYBEE_ENTERPRISE BUDGET'!$F$48</f>
        <v>12213.925425000001</v>
      </c>
    </row>
    <row r="18" spans="2:11" ht="15.75" thickBot="1" x14ac:dyDescent="0.3">
      <c r="J18" s="102"/>
      <c r="K18" s="102"/>
    </row>
    <row r="19" spans="2:11" ht="19.5" thickBot="1" x14ac:dyDescent="0.35">
      <c r="B19" s="241" t="s">
        <v>45</v>
      </c>
      <c r="C19" s="251"/>
      <c r="D19" s="251"/>
      <c r="E19" s="251"/>
      <c r="F19" s="251"/>
      <c r="G19" s="251"/>
      <c r="H19" s="251"/>
      <c r="I19" s="251"/>
      <c r="J19" s="251"/>
      <c r="K19" s="252"/>
    </row>
    <row r="20" spans="2:11" ht="19.5" thickBot="1" x14ac:dyDescent="0.35">
      <c r="B20" s="259" t="s">
        <v>32</v>
      </c>
      <c r="C20" s="260"/>
      <c r="D20" s="260"/>
      <c r="E20" s="260"/>
      <c r="F20" s="260"/>
      <c r="G20" s="260"/>
      <c r="H20" s="260"/>
      <c r="I20" s="260"/>
      <c r="J20" s="260"/>
      <c r="K20" s="261"/>
    </row>
    <row r="21" spans="2:11" ht="16.5" thickBot="1" x14ac:dyDescent="0.3">
      <c r="B21" s="262" t="s">
        <v>33</v>
      </c>
      <c r="C21" s="263"/>
      <c r="D21" s="263"/>
      <c r="E21" s="263"/>
      <c r="F21" s="263"/>
      <c r="G21" s="263"/>
      <c r="H21" s="263"/>
      <c r="I21" s="263"/>
      <c r="J21" s="263"/>
      <c r="K21" s="264"/>
    </row>
    <row r="22" spans="2:11" ht="16.5" thickBot="1" x14ac:dyDescent="0.3">
      <c r="B22" s="265" t="s">
        <v>120</v>
      </c>
      <c r="C22" s="266"/>
      <c r="D22" s="266"/>
      <c r="E22" s="266"/>
      <c r="F22" s="266"/>
      <c r="G22" s="266"/>
      <c r="H22" s="266"/>
      <c r="I22" s="266"/>
      <c r="J22" s="266"/>
      <c r="K22" s="267"/>
    </row>
    <row r="23" spans="2:11" ht="15.75" x14ac:dyDescent="0.25">
      <c r="B23" s="74"/>
      <c r="C23" s="75"/>
      <c r="D23" s="103"/>
      <c r="E23" s="268" t="s">
        <v>28</v>
      </c>
      <c r="F23" s="269"/>
      <c r="G23" s="270"/>
      <c r="H23" s="77"/>
      <c r="I23" s="268" t="s">
        <v>29</v>
      </c>
      <c r="J23" s="269"/>
      <c r="K23" s="271"/>
    </row>
    <row r="24" spans="2:11" x14ac:dyDescent="0.25">
      <c r="B24" s="74"/>
      <c r="C24" s="75"/>
      <c r="D24" s="75"/>
      <c r="E24" s="79">
        <v>0.5</v>
      </c>
      <c r="F24" s="79">
        <v>0.25</v>
      </c>
      <c r="G24" s="79">
        <v>0.1</v>
      </c>
      <c r="H24" s="80" t="s">
        <v>44</v>
      </c>
      <c r="I24" s="79">
        <v>0.1</v>
      </c>
      <c r="J24" s="79">
        <v>0.25</v>
      </c>
      <c r="K24" s="81">
        <v>0.5</v>
      </c>
    </row>
    <row r="25" spans="2:11" x14ac:dyDescent="0.25">
      <c r="B25" s="74"/>
      <c r="C25" s="75"/>
      <c r="D25" s="84"/>
      <c r="E25" s="85">
        <f>ROUND(($H$25*(1-E24)),2)</f>
        <v>4</v>
      </c>
      <c r="F25" s="86">
        <f t="shared" ref="F25:G25" si="2">ROUND(($H$25*(1-F24)),2)</f>
        <v>6</v>
      </c>
      <c r="G25" s="86">
        <f t="shared" si="2"/>
        <v>7.2</v>
      </c>
      <c r="H25" s="87">
        <f>'HONEYBEE_ENTERPRISE BUDGET'!E9</f>
        <v>8</v>
      </c>
      <c r="I25" s="86">
        <f>ROUND(($H$25*(1+I$24)),2)</f>
        <v>8.8000000000000007</v>
      </c>
      <c r="J25" s="86">
        <f t="shared" ref="J25:K25" si="3">ROUND(($H$25*(1+J$24)),2)</f>
        <v>10</v>
      </c>
      <c r="K25" s="88">
        <f t="shared" si="3"/>
        <v>12</v>
      </c>
    </row>
    <row r="26" spans="2:11" x14ac:dyDescent="0.25">
      <c r="B26" s="272" t="s">
        <v>30</v>
      </c>
      <c r="C26" s="104">
        <v>0.5</v>
      </c>
      <c r="D26" s="105">
        <f>ROUND(($D$29*(1-$C26)),2)</f>
        <v>11893.04</v>
      </c>
      <c r="E26" s="106">
        <f>ROUND($D26/E$25,0)</f>
        <v>2973</v>
      </c>
      <c r="F26" s="106">
        <f>ROUND($D26/F$25,0)</f>
        <v>1982</v>
      </c>
      <c r="G26" s="106">
        <f>ROUND($D26/G$25,0)</f>
        <v>1652</v>
      </c>
      <c r="H26" s="106">
        <f t="shared" ref="H26:K32" si="4">ROUND($D26/H$25,0)</f>
        <v>1487</v>
      </c>
      <c r="I26" s="106">
        <f t="shared" si="4"/>
        <v>1351</v>
      </c>
      <c r="J26" s="106">
        <f t="shared" si="4"/>
        <v>1189</v>
      </c>
      <c r="K26" s="107">
        <f t="shared" si="4"/>
        <v>991</v>
      </c>
    </row>
    <row r="27" spans="2:11" x14ac:dyDescent="0.25">
      <c r="B27" s="273"/>
      <c r="C27" s="79">
        <v>0.25</v>
      </c>
      <c r="D27" s="108">
        <f t="shared" ref="D27:D28" si="5">ROUND(($D$29*(1-$C27)),2)</f>
        <v>17839.560000000001</v>
      </c>
      <c r="E27" s="106">
        <f t="shared" ref="E27:G32" si="6">ROUND($D27/E$25,0)</f>
        <v>4460</v>
      </c>
      <c r="F27" s="106">
        <f t="shared" si="6"/>
        <v>2973</v>
      </c>
      <c r="G27" s="106">
        <f t="shared" si="6"/>
        <v>2478</v>
      </c>
      <c r="H27" s="106">
        <f t="shared" si="4"/>
        <v>2230</v>
      </c>
      <c r="I27" s="106">
        <f t="shared" si="4"/>
        <v>2027</v>
      </c>
      <c r="J27" s="106">
        <f t="shared" si="4"/>
        <v>1784</v>
      </c>
      <c r="K27" s="107">
        <f t="shared" si="4"/>
        <v>1487</v>
      </c>
    </row>
    <row r="28" spans="2:11" x14ac:dyDescent="0.25">
      <c r="B28" s="274"/>
      <c r="C28" s="79">
        <v>0.1</v>
      </c>
      <c r="D28" s="108">
        <f t="shared" si="5"/>
        <v>21407.47</v>
      </c>
      <c r="E28" s="106">
        <f t="shared" si="6"/>
        <v>5352</v>
      </c>
      <c r="F28" s="106">
        <f t="shared" si="6"/>
        <v>3568</v>
      </c>
      <c r="G28" s="106">
        <f t="shared" si="6"/>
        <v>2973</v>
      </c>
      <c r="H28" s="106">
        <f t="shared" si="4"/>
        <v>2676</v>
      </c>
      <c r="I28" s="106">
        <f t="shared" si="4"/>
        <v>2433</v>
      </c>
      <c r="J28" s="106">
        <f t="shared" si="4"/>
        <v>2141</v>
      </c>
      <c r="K28" s="107">
        <f t="shared" si="4"/>
        <v>1784</v>
      </c>
    </row>
    <row r="29" spans="2:11" x14ac:dyDescent="0.25">
      <c r="B29" s="95"/>
      <c r="C29" s="96" t="s">
        <v>11</v>
      </c>
      <c r="D29" s="109">
        <f>'HONEYBEE_ENTERPRISE BUDGET'!F48</f>
        <v>23786.074574999999</v>
      </c>
      <c r="E29" s="106">
        <f t="shared" si="6"/>
        <v>5947</v>
      </c>
      <c r="F29" s="106">
        <f t="shared" si="6"/>
        <v>3964</v>
      </c>
      <c r="G29" s="106">
        <f t="shared" si="6"/>
        <v>3304</v>
      </c>
      <c r="H29" s="106">
        <f>ROUND($D29/H$25,0)</f>
        <v>2973</v>
      </c>
      <c r="I29" s="106">
        <f t="shared" si="4"/>
        <v>2703</v>
      </c>
      <c r="J29" s="106">
        <f t="shared" si="4"/>
        <v>2379</v>
      </c>
      <c r="K29" s="107">
        <f t="shared" si="4"/>
        <v>1982</v>
      </c>
    </row>
    <row r="30" spans="2:11" x14ac:dyDescent="0.25">
      <c r="B30" s="272" t="s">
        <v>31</v>
      </c>
      <c r="C30" s="79">
        <v>0.1</v>
      </c>
      <c r="D30" s="108">
        <f>ROUND(($D$29*(1+$C30)),2)</f>
        <v>26164.68</v>
      </c>
      <c r="E30" s="106">
        <f t="shared" si="6"/>
        <v>6541</v>
      </c>
      <c r="F30" s="106">
        <f t="shared" si="6"/>
        <v>4361</v>
      </c>
      <c r="G30" s="106">
        <f t="shared" si="6"/>
        <v>3634</v>
      </c>
      <c r="H30" s="106">
        <f t="shared" si="4"/>
        <v>3271</v>
      </c>
      <c r="I30" s="106">
        <f t="shared" si="4"/>
        <v>2973</v>
      </c>
      <c r="J30" s="106">
        <f t="shared" si="4"/>
        <v>2616</v>
      </c>
      <c r="K30" s="107">
        <f t="shared" si="4"/>
        <v>2180</v>
      </c>
    </row>
    <row r="31" spans="2:11" x14ac:dyDescent="0.25">
      <c r="B31" s="273"/>
      <c r="C31" s="79">
        <v>0.25</v>
      </c>
      <c r="D31" s="108">
        <f>ROUND(($D$29*(1+$C31)),2)</f>
        <v>29732.59</v>
      </c>
      <c r="E31" s="106">
        <f t="shared" si="6"/>
        <v>7433</v>
      </c>
      <c r="F31" s="106">
        <f t="shared" si="6"/>
        <v>4955</v>
      </c>
      <c r="G31" s="106">
        <f t="shared" si="6"/>
        <v>4130</v>
      </c>
      <c r="H31" s="106">
        <f t="shared" si="4"/>
        <v>3717</v>
      </c>
      <c r="I31" s="106">
        <f t="shared" si="4"/>
        <v>3379</v>
      </c>
      <c r="J31" s="106">
        <f t="shared" si="4"/>
        <v>2973</v>
      </c>
      <c r="K31" s="107">
        <f t="shared" si="4"/>
        <v>2478</v>
      </c>
    </row>
    <row r="32" spans="2:11" ht="15.75" thickBot="1" x14ac:dyDescent="0.3">
      <c r="B32" s="275"/>
      <c r="C32" s="98">
        <v>0.5</v>
      </c>
      <c r="D32" s="110">
        <f>ROUND(($D$29*(1+$C32)),2)</f>
        <v>35679.11</v>
      </c>
      <c r="E32" s="111">
        <f t="shared" si="6"/>
        <v>8920</v>
      </c>
      <c r="F32" s="111">
        <f t="shared" si="6"/>
        <v>5947</v>
      </c>
      <c r="G32" s="111">
        <f t="shared" si="6"/>
        <v>4955</v>
      </c>
      <c r="H32" s="111">
        <f t="shared" si="4"/>
        <v>4460</v>
      </c>
      <c r="I32" s="111">
        <f t="shared" si="4"/>
        <v>4054</v>
      </c>
      <c r="J32" s="111">
        <f t="shared" si="4"/>
        <v>3568</v>
      </c>
      <c r="K32" s="112">
        <f t="shared" si="4"/>
        <v>2973</v>
      </c>
    </row>
  </sheetData>
  <mergeCells count="16">
    <mergeCell ref="E23:G23"/>
    <mergeCell ref="I23:K23"/>
    <mergeCell ref="B26:B28"/>
    <mergeCell ref="B30:B32"/>
    <mergeCell ref="B9:B11"/>
    <mergeCell ref="B13:B15"/>
    <mergeCell ref="B19:K19"/>
    <mergeCell ref="B20:K20"/>
    <mergeCell ref="B21:K21"/>
    <mergeCell ref="B22:K22"/>
    <mergeCell ref="B2:K2"/>
    <mergeCell ref="B3:K3"/>
    <mergeCell ref="B4:K4"/>
    <mergeCell ref="B5:K5"/>
    <mergeCell ref="E6:G6"/>
    <mergeCell ref="I6:K6"/>
  </mergeCells>
  <conditionalFormatting sqref="E9:K15">
    <cfRule type="cellIs" dxfId="2" priority="1" operator="greaterThan">
      <formula>0</formula>
    </cfRule>
    <cfRule type="cellIs" dxfId="1" priority="2" operator="lessThan">
      <formula>0</formula>
    </cfRule>
    <cfRule type="cellIs" dxfId="0" priority="3"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DESCRIPTION</vt:lpstr>
      <vt:lpstr>HONEYBEE_FIXED COST</vt:lpstr>
      <vt:lpstr>HONEYBEE_ENTERPRISE BUDGET</vt:lpstr>
      <vt:lpstr>ANALYSIS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Ermias Afeworki</dc:creator>
  <cp:lastModifiedBy>Caroline Chiu</cp:lastModifiedBy>
  <dcterms:created xsi:type="dcterms:W3CDTF">2014-07-25T20:10:12Z</dcterms:created>
  <dcterms:modified xsi:type="dcterms:W3CDTF">2015-06-16T21:21:33Z</dcterms:modified>
</cp:coreProperties>
</file>