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0" windowWidth="13515" windowHeight="1209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<sst xmlns="http://schemas.openxmlformats.org/spreadsheetml/2006/main" count="477" uniqueCount="256">
  <si>
    <t xml:space="preserve">Tractor </t>
  </si>
  <si>
    <t>Machinery</t>
  </si>
  <si>
    <t>Scale</t>
  </si>
  <si>
    <t>Harvest/storage bins</t>
  </si>
  <si>
    <t>Mainline</t>
  </si>
  <si>
    <t>Type</t>
  </si>
  <si>
    <t>Isuzu 2002 (used)</t>
  </si>
  <si>
    <t>used</t>
  </si>
  <si>
    <t>PVC</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</si>
  <si>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</si>
  <si>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</si>
  <si>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</si>
  <si>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</si>
  <si>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</si>
  <si>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</si>
  <si>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</si>
  <si>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</si>
  <si>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</si>
  <si>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</si>
  <si>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</si>
  <si>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</si>
  <si>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</si>
  <si>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</si>
  <si>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</si>
  <si>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</si>
  <si>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</si>
  <si>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</si>
  <si>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</si>
  <si>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</si>
  <si>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</si>
  <si>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</si>
  <si>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</si>
  <si>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</si>
  <si>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</si>
  <si>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</si>
  <si>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</si>
  <si>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</si>
  <si>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</si>
  <si>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</si>
  <si>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</si>
  <si>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</si>
  <si>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</si>
  <si>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</si>
  <si>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</si>
  <si>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</si>
  <si>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</si>
  <si>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</si>
  <si>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</si>
  <si>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</si>
  <si>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</si>
  <si>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</si>
  <si>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</si>
  <si>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</si>
  <si>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</si>
  <si>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</si>
  <si>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</si>
  <si>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</si>
  <si>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</si>
  <si>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</si>
  <si>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</si>
  <si>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</si>
  <si>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</si>
  <si>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</si>
  <si>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</si>
  <si>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</si>
  <si>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</si>
  <si>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</si>
  <si>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</si>
  <si>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</si>
  <si>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</si>
  <si>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</si>
  <si>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</si>
  <si>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</si>
  <si>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</si>
  <si>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</si>
  <si>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</si>
  <si>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</si>
  <si>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</si>
  <si>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</si>
  <si>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</si>
  <si>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</si>
  <si>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</si>
  <si>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</si>
  <si>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</si>
  <si>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</si>
  <si>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</si>
  <si>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</si>
  <si>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</si>
  <si>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</si>
  <si>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</si>
  <si>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</si>
  <si>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</si>
  <si>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</si>
  <si>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</si>
  <si>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</si>
  <si>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</si>
  <si>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</si>
  <si>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</si>
  <si>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</si>
  <si>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</si>
  <si>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</si>
  <si>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</si>
  <si>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</si>
  <si>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</si>
  <si>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</si>
  <si>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</si>
  <si>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</si>
  <si>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</si>
  <si>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</si>
  <si>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</si>
  <si>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</si>
  <si>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</si>
  <si>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</si>
  <si>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</si>
  <si>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</si>
  <si>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</si>
  <si>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</si>
  <si>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</si>
  <si>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</si>
  <si>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</si>
  <si>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</si>
  <si>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</si>
  <si>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</si>
  <si>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</si>
  <si>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</si>
  <si>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</si>
  <si>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</si>
  <si>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</si>
  <si>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</si>
  <si>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</si>
  <si>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</si>
  <si>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</si>
  <si>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</si>
  <si>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</si>
  <si>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</si>
  <si>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</si>
  <si>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</si>
  <si>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</si>
  <si>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</si>
  <si>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</si>
  <si>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</si>
  <si>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</si>
  <si>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</si>
  <si>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</si>
  <si>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</si>
  <si>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</si>
  <si>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</si>
  <si>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</si>
  <si>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</si>
  <si>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</si>
  <si>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</si>
  <si>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</si>
  <si>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</si>
  <si>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</si>
  <si>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</si>
  <si>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</si>
  <si>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</si>
  <si>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</si>
  <si>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</si>
  <si>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</si>
  <si>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</si>
  <si>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</si>
  <si>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</si>
  <si>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</si>
  <si>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</si>
  <si>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</si>
  <si>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</si>
  <si>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</si>
  <si>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</si>
  <si>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</si>
  <si>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</si>
  <si>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</si>
  <si>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</si>
  <si>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</si>
  <si>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</si>
  <si>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</si>
  <si>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</si>
  <si>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</si>
  <si>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</si>
  <si>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</si>
  <si>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</si>
  <si>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</si>
  <si>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</si>
  <si>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</si>
  <si>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</si>
  <si>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</si>
  <si>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</si>
  <si>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</si>
  <si>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</si>
  <si>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</si>
  <si>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</si>
  <si>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</si>
  <si>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</si>
  <si>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</si>
  <si>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</si>
  <si>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</si>
  <si>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</si>
  <si>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</si>
  <si>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</si>
  <si>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</si>
  <si>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</si>
  <si>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</si>
  <si>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</si>
  <si>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</si>
  <si>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</si>
  <si>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</si>
  <si>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</si>
  <si>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</si>
  <si>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</si>
  <si>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</si>
  <si>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</si>
  <si>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</si>
  <si>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</si>
  <si>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</si>
  <si>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</si>
  <si>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</si>
  <si>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</si>
  <si>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</si>
  <si>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Compost</t>
  </si>
  <si>
    <t>yards</t>
  </si>
  <si>
    <t>Trays</t>
  </si>
  <si>
    <t>Potting mix</t>
  </si>
  <si>
    <t>Apply pre-plant amendments (lime, compost)</t>
  </si>
  <si>
    <t>Transplanting ( potting up, moving, transplanting)</t>
  </si>
  <si>
    <t>Weeding</t>
  </si>
  <si>
    <t>A</t>
  </si>
  <si>
    <t>Irrigating (set up, manage drip)</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</si>
  <si>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</si>
  <si>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</si>
  <si>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</si>
  <si>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</si>
  <si>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</si>
  <si>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Brassica crops area</t>
  </si>
  <si>
    <t>used only in Brassica crops area</t>
  </si>
  <si>
    <t>4000 feet (2)</t>
  </si>
  <si>
    <t>Container (Cooler and covered lean-to washing area)</t>
  </si>
  <si>
    <t>Heated hoophouse (seeding - plastic, heaters, tables)</t>
  </si>
  <si>
    <t>seeds</t>
  </si>
  <si>
    <t>Prepare land (plow, disk, rotovate)</t>
  </si>
  <si>
    <t>Spraying BT</t>
  </si>
  <si>
    <t>Pruning</t>
  </si>
  <si>
    <t>Kale</t>
  </si>
  <si>
    <t>not used in Kale</t>
  </si>
  <si>
    <t>Harvesting (picking, washing, grading)</t>
  </si>
  <si>
    <t>trays</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</si>
  <si>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</si>
  <si>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</si>
  <si>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</si>
  <si>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</si>
  <si>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</si>
  <si>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</si>
  <si>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Machiner</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</si>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</sst>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 numFmtId="168" formatCode="&quot;$&quot;#,##0.0000"/>
  </numFmts>
  <fonts count="55">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9">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3" xfId="0" applyNumberFormat="1" applyFont="1" applyFill="1" applyBorder="1" applyAlignment="1" applyProtection="1">
      <alignment/>
      <protection locked="0"/>
    </xf>
    <xf numFmtId="168" fontId="0" fillId="33" borderId="13"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6"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6"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7"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left"/>
      <protection/>
    </xf>
    <xf numFmtId="0" fontId="45" fillId="34" borderId="14" xfId="0" applyFont="1" applyFill="1" applyBorder="1" applyAlignment="1" applyProtection="1">
      <alignment horizontal="left"/>
      <protection/>
    </xf>
    <xf numFmtId="0" fontId="45" fillId="34" borderId="28" xfId="0" applyFont="1" applyFill="1" applyBorder="1" applyAlignment="1" applyProtection="1">
      <alignment horizontal="left"/>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left" vertical="center"/>
      <protection/>
    </xf>
    <xf numFmtId="0" fontId="45" fillId="34" borderId="56" xfId="0" applyFont="1" applyFill="1" applyBorder="1" applyAlignment="1" applyProtection="1">
      <alignment horizontal="left"/>
      <protection/>
    </xf>
    <xf numFmtId="0" fontId="45" fillId="34" borderId="56" xfId="0" applyFont="1" applyFill="1" applyBorder="1" applyAlignment="1" applyProtection="1">
      <alignment horizontal="center" vertical="center"/>
      <protection/>
    </xf>
    <xf numFmtId="0" fontId="45" fillId="34" borderId="74" xfId="0" applyFont="1" applyFill="1" applyBorder="1" applyAlignment="1" applyProtection="1">
      <alignment horizontal="left"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left"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8"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5" fillId="36" borderId="16"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45"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0" fontId="0" fillId="36" borderId="10" xfId="0" applyFont="1" applyFill="1" applyBorder="1" applyAlignment="1" applyProtection="1">
      <alignment/>
      <protection/>
    </xf>
    <xf numFmtId="0" fontId="0" fillId="36" borderId="0" xfId="0" applyFont="1" applyFill="1" applyBorder="1" applyAlignment="1" applyProtection="1">
      <alignment/>
      <protection/>
    </xf>
    <xf numFmtId="0" fontId="0" fillId="36" borderId="75" xfId="0"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9" xfId="0" applyFont="1" applyFill="1" applyBorder="1" applyAlignment="1" applyProtection="1">
      <alignment/>
      <protection locked="0"/>
    </xf>
    <xf numFmtId="0" fontId="45" fillId="0" borderId="49"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53" fillId="36" borderId="18"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53" fillId="36" borderId="58"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6600825</xdr:colOff>
      <xdr:row>59</xdr:row>
      <xdr:rowOff>152400</xdr:rowOff>
    </xdr:from>
    <xdr:to>
      <xdr:col>2</xdr:col>
      <xdr:colOff>276225</xdr:colOff>
      <xdr:row>62</xdr:row>
      <xdr:rowOff>95250</xdr:rowOff>
    </xdr:to>
    <xdr:pic>
      <xdr:nvPicPr>
        <xdr:cNvPr id="1" name="Picture 2"/>
        <xdr:cNvPicPr preferRelativeResize="1">
          <a:picLocks noChangeAspect="1"/>
        </xdr:cNvPicPr>
      </xdr:nvPicPr>
      <xdr:blipFill>
        <a:blip r:embed="rId1"/>
        <a:stretch>
          <a:fillRect/>
        </a:stretch>
      </xdr:blipFill>
      <xdr:spPr>
        <a:xfrm>
          <a:off x="6600825" y="12353925"/>
          <a:ext cx="1533525" cy="514350"/>
        </a:xfrm>
        <a:prstGeom prst="rect">
          <a:avLst/>
        </a:prstGeom>
        <a:noFill/>
        <a:ln w="9525" cmpd="sng">
          <a:noFill/>
        </a:ln>
      </xdr:spPr>
    </xdr:pic>
    <xdr:clientData/>
  </xdr:twoCellAnchor>
  <xdr:twoCellAnchor editAs="oneCell">
    <xdr:from>
      <xdr:col>0</xdr:col>
      <xdr:colOff>0</xdr:colOff>
      <xdr:row>1</xdr:row>
      <xdr:rowOff>0</xdr:rowOff>
    </xdr:from>
    <xdr:to>
      <xdr:col>0</xdr:col>
      <xdr:colOff>7239000</xdr:colOff>
      <xdr:row>15</xdr:row>
      <xdr:rowOff>66675</xdr:rowOff>
    </xdr:to>
    <xdr:pic>
      <xdr:nvPicPr>
        <xdr:cNvPr id="2" name="Picture 1"/>
        <xdr:cNvPicPr preferRelativeResize="1">
          <a:picLocks noChangeAspect="1"/>
        </xdr:cNvPicPr>
      </xdr:nvPicPr>
      <xdr:blipFill>
        <a:blip r:embed="rId2"/>
        <a:stretch>
          <a:fillRect/>
        </a:stretch>
      </xdr:blipFill>
      <xdr:spPr>
        <a:xfrm>
          <a:off x="0" y="190500"/>
          <a:ext cx="7239000" cy="2733675"/>
        </a:xfrm>
        <a:prstGeom prst="rect">
          <a:avLst/>
        </a:prstGeom>
        <a:noFill/>
        <a:ln w="9525" cmpd="sng">
          <a:noFill/>
        </a:ln>
      </xdr:spPr>
    </xdr:pic>
    <xdr:clientData/>
  </xdr:twoCellAnchor>
  <xdr:twoCellAnchor>
    <xdr:from>
      <xdr:col>0</xdr:col>
      <xdr:colOff>5895975</xdr:colOff>
      <xdr:row>11</xdr:row>
      <xdr:rowOff>95250</xdr:rowOff>
    </xdr:from>
    <xdr:to>
      <xdr:col>0</xdr:col>
      <xdr:colOff>7153275</xdr:colOff>
      <xdr:row>14</xdr:row>
      <xdr:rowOff>171450</xdr:rowOff>
    </xdr:to>
    <xdr:sp>
      <xdr:nvSpPr>
        <xdr:cNvPr id="3" name="TextBox 4"/>
        <xdr:cNvSpPr txBox="1">
          <a:spLocks noChangeArrowheads="1"/>
        </xdr:cNvSpPr>
      </xdr:nvSpPr>
      <xdr:spPr>
        <a:xfrm>
          <a:off x="5895975" y="2190750"/>
          <a:ext cx="1257300" cy="64770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twoCellAnchor editAs="oneCell">
    <xdr:from>
      <xdr:col>0</xdr:col>
      <xdr:colOff>0</xdr:colOff>
      <xdr:row>17</xdr:row>
      <xdr:rowOff>0</xdr:rowOff>
    </xdr:from>
    <xdr:to>
      <xdr:col>1</xdr:col>
      <xdr:colOff>238125</xdr:colOff>
      <xdr:row>52</xdr:row>
      <xdr:rowOff>9525</xdr:rowOff>
    </xdr:to>
    <xdr:pic>
      <xdr:nvPicPr>
        <xdr:cNvPr id="4" name="Picture 5"/>
        <xdr:cNvPicPr preferRelativeResize="1">
          <a:picLocks noChangeAspect="1"/>
        </xdr:cNvPicPr>
      </xdr:nvPicPr>
      <xdr:blipFill>
        <a:blip r:embed="rId3"/>
        <a:stretch>
          <a:fillRect/>
        </a:stretch>
      </xdr:blipFill>
      <xdr:spPr>
        <a:xfrm>
          <a:off x="0" y="3238500"/>
          <a:ext cx="7486650" cy="6677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4:A62"/>
  <sheetViews>
    <sheetView showGridLines="0" tabSelected="1" zoomScalePageLayoutView="0" workbookViewId="0" topLeftCell="A37">
      <selection activeCell="A58" sqref="A58"/>
    </sheetView>
  </sheetViews>
  <sheetFormatPr defaultColWidth="9.140625" defaultRowHeight="15"/>
  <cols>
    <col min="1" max="1" width="108.7109375" style="0" customWidth="1"/>
  </cols>
  <sheetData>
    <row r="54" ht="15.75">
      <c r="A54" s="474" t="s">
        <v>247</v>
      </c>
    </row>
    <row r="56" ht="90">
      <c r="A56" s="475" t="s">
        <v>255</v>
      </c>
    </row>
    <row r="61" ht="15">
      <c r="A61" t="s">
        <v>248</v>
      </c>
    </row>
    <row r="62" ht="15">
      <c r="A62" t="s">
        <v>249</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tabColor rgb="FF92D050"/>
  </sheetPr>
  <dimension ref="B2:K184"/>
  <sheetViews>
    <sheetView zoomScale="80" zoomScaleNormal="80" zoomScalePageLayoutView="0" workbookViewId="0" topLeftCell="A145">
      <selection activeCell="I22" sqref="I22"/>
    </sheetView>
  </sheetViews>
  <sheetFormatPr defaultColWidth="9.140625" defaultRowHeight="15"/>
  <cols>
    <col min="1" max="1" width="8.140625" style="158" customWidth="1"/>
    <col min="2" max="2" width="34.57421875" style="158" customWidth="1"/>
    <col min="3" max="3" width="16.140625" style="158" customWidth="1"/>
    <col min="4" max="4" width="12.57421875" style="159" customWidth="1"/>
    <col min="5" max="5" width="11.7109375" style="160" customWidth="1"/>
    <col min="6" max="6" width="15.00390625" style="160" customWidth="1"/>
    <col min="7" max="7" width="16.421875" style="160" customWidth="1"/>
    <col min="8" max="8" width="15.8515625" style="158" bestFit="1" customWidth="1"/>
    <col min="9" max="16384" width="9.140625" style="158" customWidth="1"/>
  </cols>
  <sheetData>
    <row r="1" ht="16.5" thickBot="1"/>
    <row r="2" spans="2:7" ht="19.5" thickBot="1">
      <c r="B2" s="476" t="str">
        <f>'Fixed Costs &amp; Overhead Charges'!B2:O2</f>
        <v>Kale Enterprise Budget, 0.1 Acre, Southwest British Columbia, Canada </v>
      </c>
      <c r="C2" s="477"/>
      <c r="D2" s="477"/>
      <c r="E2" s="477"/>
      <c r="F2" s="477"/>
      <c r="G2" s="478"/>
    </row>
    <row r="3" spans="2:7" ht="96.75" customHeight="1" thickBot="1">
      <c r="B3" s="479" t="s">
        <v>212</v>
      </c>
      <c r="C3" s="480"/>
      <c r="D3" s="480"/>
      <c r="E3" s="480"/>
      <c r="F3" s="480"/>
      <c r="G3" s="481"/>
    </row>
    <row r="4" spans="2:7" ht="15.75">
      <c r="B4" s="163" t="str">
        <f>'Fixed Costs &amp; Overhead Charges'!B5</f>
        <v>Crop</v>
      </c>
      <c r="C4" s="164" t="str">
        <f>'Fixed Costs &amp; Overhead Charges'!C5</f>
        <v>Kale</v>
      </c>
      <c r="D4" s="164"/>
      <c r="E4" s="165"/>
      <c r="F4" s="165"/>
      <c r="G4" s="166"/>
    </row>
    <row r="5" spans="2:7" ht="15.75">
      <c r="B5" s="163" t="str">
        <f>'Fixed Costs &amp; Overhead Charges'!B8</f>
        <v>Kale cultivated area</v>
      </c>
      <c r="C5" s="164">
        <f>'Fixed Costs &amp; Overhead Charges'!C8</f>
        <v>0.1</v>
      </c>
      <c r="D5" s="164" t="str">
        <f>'Fixed Costs &amp; Overhead Charges'!D8</f>
        <v>Acre</v>
      </c>
      <c r="E5" s="165"/>
      <c r="F5" s="165"/>
      <c r="G5" s="166"/>
    </row>
    <row r="6" spans="2:7" ht="15.75">
      <c r="B6" s="163" t="str">
        <f>'Fixed Costs &amp; Overhead Charges'!B9</f>
        <v>Crop area (square feet)</v>
      </c>
      <c r="C6" s="167">
        <f>'Fixed Costs &amp; Overhead Charges'!C9</f>
        <v>4356</v>
      </c>
      <c r="D6" s="164" t="str">
        <f>'Fixed Costs &amp; Overhead Charges'!D9</f>
        <v>Sqft</v>
      </c>
      <c r="E6" s="165"/>
      <c r="F6" s="165"/>
      <c r="G6" s="166"/>
    </row>
    <row r="7" spans="2:7" ht="15.75">
      <c r="B7" s="163" t="str">
        <f>'Fixed Costs &amp; Overhead Charges'!B10</f>
        <v>Bed size ( 100 feet x 4 feet)</v>
      </c>
      <c r="C7" s="164">
        <f>'Fixed Costs &amp; Overhead Charges'!C10</f>
        <v>400</v>
      </c>
      <c r="D7" s="164" t="str">
        <f>'Fixed Costs &amp; Overhead Charges'!D10</f>
        <v>Sqft</v>
      </c>
      <c r="E7" s="165"/>
      <c r="F7" s="165"/>
      <c r="G7" s="166"/>
    </row>
    <row r="8" spans="2:7" ht="15.75">
      <c r="B8" s="163" t="str">
        <f>'Fixed Costs &amp; Overhead Charges'!B11</f>
        <v>Number of 100 feet x 4 feet beds</v>
      </c>
      <c r="C8" s="164">
        <f>'Fixed Costs &amp; Overhead Charges'!C11</f>
        <v>11</v>
      </c>
      <c r="D8" s="164" t="str">
        <f>'Fixed Costs &amp; Overhead Charges'!D11</f>
        <v>Beds</v>
      </c>
      <c r="E8" s="165"/>
      <c r="F8" s="165"/>
      <c r="G8" s="166"/>
    </row>
    <row r="9" spans="2:7" ht="15.75">
      <c r="B9" s="163" t="str">
        <f>'Fixed Costs &amp; Overhead Charges'!B12</f>
        <v>Interest rate</v>
      </c>
      <c r="C9" s="168">
        <f>'Fixed Costs &amp; Overhead Charges'!C12</f>
        <v>0.05</v>
      </c>
      <c r="D9" s="164"/>
      <c r="E9" s="169"/>
      <c r="F9" s="169"/>
      <c r="G9" s="170"/>
    </row>
    <row r="10" spans="2:7" ht="16.5" thickBot="1">
      <c r="B10" s="171" t="str">
        <f>'Fixed Costs &amp; Overhead Charges'!B13</f>
        <v>Growing season </v>
      </c>
      <c r="C10" s="172">
        <f>'Fixed Costs &amp; Overhead Charges'!C13</f>
        <v>4</v>
      </c>
      <c r="D10" s="173" t="str">
        <f>'Fixed Costs &amp; Overhead Charges'!D13</f>
        <v>Months</v>
      </c>
      <c r="E10" s="174"/>
      <c r="F10" s="174"/>
      <c r="G10" s="175"/>
    </row>
    <row r="11" spans="2:7" ht="15.75">
      <c r="B11" s="176"/>
      <c r="C11" s="164"/>
      <c r="D11" s="177"/>
      <c r="E11" s="169"/>
      <c r="F11" s="169"/>
      <c r="G11" s="178"/>
    </row>
    <row r="12" spans="2:7" ht="16.5" thickBot="1">
      <c r="B12" s="176"/>
      <c r="C12" s="164"/>
      <c r="D12" s="177"/>
      <c r="E12" s="169"/>
      <c r="F12" s="169"/>
      <c r="G12" s="178"/>
    </row>
    <row r="13" spans="2:7" ht="16.5" thickBot="1">
      <c r="B13" s="179" t="s">
        <v>22</v>
      </c>
      <c r="C13" s="180"/>
      <c r="D13" s="180"/>
      <c r="E13" s="180"/>
      <c r="F13" s="180"/>
      <c r="G13" s="181"/>
    </row>
    <row r="14" spans="2:7" ht="31.5">
      <c r="B14" s="182" t="s">
        <v>60</v>
      </c>
      <c r="C14" s="183" t="str">
        <f>"Quantity per "&amp;$C$5&amp;" "&amp;$D$5</f>
        <v>Quantity per 0.1 Acre</v>
      </c>
      <c r="D14" s="184" t="s">
        <v>17</v>
      </c>
      <c r="E14" s="185" t="s">
        <v>199</v>
      </c>
      <c r="F14" s="183" t="str">
        <f>"$ per "&amp;$C$5&amp;" "&amp;$D$5</f>
        <v>$ per 0.1 Acre</v>
      </c>
      <c r="G14" s="186" t="s">
        <v>198</v>
      </c>
    </row>
    <row r="15" spans="2:7" ht="16.5" thickBot="1">
      <c r="B15" s="187" t="str">
        <f>'Fixed Costs &amp; Overhead Charges'!C5</f>
        <v>Kale</v>
      </c>
      <c r="C15" s="188">
        <f>Revenue!C7</f>
        <v>2880</v>
      </c>
      <c r="D15" s="188" t="str">
        <f>Revenue!D7</f>
        <v>bunches</v>
      </c>
      <c r="E15" s="189">
        <f>Revenue!E7</f>
        <v>2.5</v>
      </c>
      <c r="F15" s="189">
        <f>C15*E15</f>
        <v>7200</v>
      </c>
      <c r="G15" s="190">
        <f>F15/C8</f>
        <v>654.5454545454545</v>
      </c>
    </row>
    <row r="16" spans="2:7" ht="15.75">
      <c r="B16" s="191"/>
      <c r="C16" s="192"/>
      <c r="D16" s="192"/>
      <c r="E16" s="193"/>
      <c r="F16" s="193"/>
      <c r="G16" s="193"/>
    </row>
    <row r="17" spans="2:11" s="161" customFormat="1" ht="16.5" thickBot="1">
      <c r="B17" s="191"/>
      <c r="C17" s="194"/>
      <c r="D17" s="194"/>
      <c r="E17" s="195"/>
      <c r="F17" s="195"/>
      <c r="G17" s="195"/>
      <c r="K17" s="158"/>
    </row>
    <row r="18" spans="2:7" ht="16.5" thickBot="1">
      <c r="B18" s="196" t="s">
        <v>94</v>
      </c>
      <c r="C18" s="197"/>
      <c r="D18" s="197"/>
      <c r="E18" s="197"/>
      <c r="F18" s="197"/>
      <c r="G18" s="198"/>
    </row>
    <row r="19" spans="2:7" ht="31.5">
      <c r="B19" s="199" t="s">
        <v>60</v>
      </c>
      <c r="C19" s="200" t="str">
        <f>"Quantity per "&amp;$C$5&amp;" "&amp;$D$5</f>
        <v>Quantity per 0.1 Acre</v>
      </c>
      <c r="D19" s="201" t="s">
        <v>17</v>
      </c>
      <c r="E19" s="202" t="s">
        <v>92</v>
      </c>
      <c r="F19" s="200" t="str">
        <f>"$ per "&amp;$C$5&amp;" "&amp;$D$5</f>
        <v>$ per 0.1 Acre</v>
      </c>
      <c r="G19" s="203" t="s">
        <v>198</v>
      </c>
    </row>
    <row r="20" spans="2:8" ht="15.75">
      <c r="B20" s="204" t="s">
        <v>25</v>
      </c>
      <c r="C20" s="205"/>
      <c r="D20" s="206"/>
      <c r="E20" s="207"/>
      <c r="F20" s="207"/>
      <c r="G20" s="208"/>
      <c r="H20" s="2"/>
    </row>
    <row r="21" spans="2:7" ht="15.75">
      <c r="B21" s="209" t="str">
        <f>'VC-Material Cost'!B9</f>
        <v>Seed</v>
      </c>
      <c r="C21" s="210">
        <f>'VC-Material Cost'!C9</f>
        <v>2000</v>
      </c>
      <c r="D21" s="211" t="str">
        <f>'VC-Material Cost'!D9</f>
        <v>seeds</v>
      </c>
      <c r="E21" s="210">
        <f>'VC-Material Cost'!E9</f>
        <v>0.0025</v>
      </c>
      <c r="F21" s="212">
        <f>C21*E21</f>
        <v>5</v>
      </c>
      <c r="G21" s="213">
        <f>IF($C$8&gt;0,F21/$C$8,0)</f>
        <v>0.45454545454545453</v>
      </c>
    </row>
    <row r="22" spans="2:7" ht="15.75">
      <c r="B22" s="209">
        <f>'VC-Material Cost'!B10</f>
        <v>0</v>
      </c>
      <c r="C22" s="210">
        <f>'VC-Material Cost'!C10</f>
        <v>0</v>
      </c>
      <c r="D22" s="211">
        <f>'VC-Material Cost'!D10</f>
        <v>0</v>
      </c>
      <c r="E22" s="210">
        <f>'VC-Material Cost'!E10</f>
        <v>0</v>
      </c>
      <c r="F22" s="212">
        <f>C22*E22</f>
        <v>0</v>
      </c>
      <c r="G22" s="213">
        <f>IF($C$8&gt;0,F22/$C$8,0)</f>
        <v>0</v>
      </c>
    </row>
    <row r="23" spans="2:7" ht="15.75">
      <c r="B23" s="209">
        <f>'VC-Material Cost'!B11</f>
        <v>0</v>
      </c>
      <c r="C23" s="210">
        <f>'VC-Material Cost'!C11</f>
        <v>0</v>
      </c>
      <c r="D23" s="211">
        <f>'VC-Material Cost'!D11</f>
        <v>0</v>
      </c>
      <c r="E23" s="210">
        <f>'VC-Material Cost'!E11</f>
        <v>0</v>
      </c>
      <c r="F23" s="212">
        <f>C23*E23</f>
        <v>0</v>
      </c>
      <c r="G23" s="213">
        <f>IF($C$8&gt;0,F23/$C$8,0)</f>
        <v>0</v>
      </c>
    </row>
    <row r="24" spans="2:7" ht="15.75">
      <c r="B24" s="209">
        <f>'VC-Material Cost'!B12</f>
        <v>0</v>
      </c>
      <c r="C24" s="210">
        <f>'VC-Material Cost'!C12</f>
        <v>0</v>
      </c>
      <c r="D24" s="211">
        <f>'VC-Material Cost'!D12</f>
        <v>0</v>
      </c>
      <c r="E24" s="210">
        <f>'VC-Material Cost'!E12</f>
        <v>0</v>
      </c>
      <c r="F24" s="212">
        <f>C24*E24</f>
        <v>0</v>
      </c>
      <c r="G24" s="213">
        <f>IF($C$8&gt;0,F24/$C$8,0)</f>
        <v>0</v>
      </c>
    </row>
    <row r="25" spans="2:7" ht="15.75">
      <c r="B25" s="204" t="s">
        <v>26</v>
      </c>
      <c r="C25" s="214"/>
      <c r="D25" s="206"/>
      <c r="E25" s="214"/>
      <c r="F25" s="212"/>
      <c r="G25" s="213"/>
    </row>
    <row r="26" spans="2:7" ht="15.75">
      <c r="B26" s="209" t="str">
        <f>'VC-Material Cost'!B15</f>
        <v>Compost</v>
      </c>
      <c r="C26" s="210">
        <f>'VC-Material Cost'!C15</f>
        <v>1.5</v>
      </c>
      <c r="D26" s="211" t="str">
        <f>'VC-Material Cost'!D15</f>
        <v>yards</v>
      </c>
      <c r="E26" s="210">
        <f>'VC-Material Cost'!E15</f>
        <v>40</v>
      </c>
      <c r="F26" s="212">
        <f aca="true" t="shared" si="0" ref="F26:F33">C26*E26</f>
        <v>60</v>
      </c>
      <c r="G26" s="213">
        <f aca="true" t="shared" si="1" ref="G26:G33">IF($C$8&gt;0,F26/$C$8,0)</f>
        <v>5.454545454545454</v>
      </c>
    </row>
    <row r="27" spans="2:7" ht="15.75">
      <c r="B27" s="209" t="str">
        <f>'VC-Material Cost'!B16</f>
        <v>Lime</v>
      </c>
      <c r="C27" s="210">
        <f>'VC-Material Cost'!C16</f>
        <v>200</v>
      </c>
      <c r="D27" s="211" t="str">
        <f>'VC-Material Cost'!D16</f>
        <v>pounds</v>
      </c>
      <c r="E27" s="210">
        <f>'VC-Material Cost'!E16</f>
        <v>0.1</v>
      </c>
      <c r="F27" s="212">
        <f t="shared" si="0"/>
        <v>20</v>
      </c>
      <c r="G27" s="213">
        <f t="shared" si="1"/>
        <v>1.8181818181818181</v>
      </c>
    </row>
    <row r="28" spans="2:7" ht="15.75">
      <c r="B28" s="209">
        <f>'VC-Material Cost'!B17</f>
        <v>0</v>
      </c>
      <c r="C28" s="210">
        <f>'VC-Material Cost'!C17</f>
        <v>0</v>
      </c>
      <c r="D28" s="211">
        <f>'VC-Material Cost'!D17</f>
        <v>0</v>
      </c>
      <c r="E28" s="210">
        <f>'VC-Material Cost'!E17</f>
        <v>0</v>
      </c>
      <c r="F28" s="212">
        <f t="shared" si="0"/>
        <v>0</v>
      </c>
      <c r="G28" s="213">
        <f t="shared" si="1"/>
        <v>0</v>
      </c>
    </row>
    <row r="29" spans="2:7" ht="15.75">
      <c r="B29" s="209">
        <f>'VC-Material Cost'!B18</f>
        <v>0</v>
      </c>
      <c r="C29" s="210">
        <f>'VC-Material Cost'!C18</f>
        <v>0</v>
      </c>
      <c r="D29" s="211">
        <f>'VC-Material Cost'!D18</f>
        <v>0</v>
      </c>
      <c r="E29" s="210">
        <f>'VC-Material Cost'!E18</f>
        <v>0</v>
      </c>
      <c r="F29" s="212">
        <f t="shared" si="0"/>
        <v>0</v>
      </c>
      <c r="G29" s="213">
        <f t="shared" si="1"/>
        <v>0</v>
      </c>
    </row>
    <row r="30" spans="2:7" ht="15.75">
      <c r="B30" s="209">
        <f>'VC-Material Cost'!B19</f>
        <v>0</v>
      </c>
      <c r="C30" s="210">
        <f>'VC-Material Cost'!C19</f>
        <v>0</v>
      </c>
      <c r="D30" s="211">
        <f>'VC-Material Cost'!D19</f>
        <v>0</v>
      </c>
      <c r="E30" s="210">
        <f>'VC-Material Cost'!E19</f>
        <v>0</v>
      </c>
      <c r="F30" s="212">
        <f t="shared" si="0"/>
        <v>0</v>
      </c>
      <c r="G30" s="213">
        <f t="shared" si="1"/>
        <v>0</v>
      </c>
    </row>
    <row r="31" spans="2:7" ht="15.75">
      <c r="B31" s="209">
        <f>'VC-Material Cost'!B20</f>
        <v>0</v>
      </c>
      <c r="C31" s="210">
        <f>'VC-Material Cost'!C20</f>
        <v>0</v>
      </c>
      <c r="D31" s="211">
        <f>'VC-Material Cost'!D20</f>
        <v>0</v>
      </c>
      <c r="E31" s="210">
        <f>'VC-Material Cost'!E20</f>
        <v>0</v>
      </c>
      <c r="F31" s="212">
        <f t="shared" si="0"/>
        <v>0</v>
      </c>
      <c r="G31" s="213">
        <f t="shared" si="1"/>
        <v>0</v>
      </c>
    </row>
    <row r="32" spans="2:7" ht="15.75">
      <c r="B32" s="209">
        <f>'VC-Material Cost'!B21</f>
        <v>0</v>
      </c>
      <c r="C32" s="210">
        <f>'VC-Material Cost'!C21</f>
        <v>0</v>
      </c>
      <c r="D32" s="211">
        <f>'VC-Material Cost'!D21</f>
        <v>0</v>
      </c>
      <c r="E32" s="210">
        <f>'VC-Material Cost'!E21</f>
        <v>0</v>
      </c>
      <c r="F32" s="212">
        <f t="shared" si="0"/>
        <v>0</v>
      </c>
      <c r="G32" s="213">
        <f t="shared" si="1"/>
        <v>0</v>
      </c>
    </row>
    <row r="33" spans="2:7" ht="15.75">
      <c r="B33" s="209">
        <f>'VC-Material Cost'!B22</f>
        <v>0</v>
      </c>
      <c r="C33" s="210">
        <f>'VC-Material Cost'!C22</f>
        <v>0</v>
      </c>
      <c r="D33" s="211">
        <f>'VC-Material Cost'!D22</f>
        <v>0</v>
      </c>
      <c r="E33" s="210">
        <f>'VC-Material Cost'!E22</f>
        <v>0</v>
      </c>
      <c r="F33" s="212">
        <f t="shared" si="0"/>
        <v>0</v>
      </c>
      <c r="G33" s="213">
        <f t="shared" si="1"/>
        <v>0</v>
      </c>
    </row>
    <row r="34" spans="2:7" s="162" customFormat="1" ht="15.75">
      <c r="B34" s="204" t="s">
        <v>53</v>
      </c>
      <c r="C34" s="215"/>
      <c r="D34" s="216"/>
      <c r="E34" s="215"/>
      <c r="F34" s="212"/>
      <c r="G34" s="213"/>
    </row>
    <row r="35" spans="2:7" ht="15.75">
      <c r="B35" s="209" t="str">
        <f>'VC-Material Cost'!B25</f>
        <v>Potting mix</v>
      </c>
      <c r="C35" s="210">
        <f>'VC-Material Cost'!C25</f>
        <v>1</v>
      </c>
      <c r="D35" s="211">
        <f>'VC-Material Cost'!D25</f>
        <v>0</v>
      </c>
      <c r="E35" s="210">
        <f>'VC-Material Cost'!E25</f>
        <v>25</v>
      </c>
      <c r="F35" s="212">
        <f aca="true" t="shared" si="2" ref="F35:F42">C35*E35</f>
        <v>25</v>
      </c>
      <c r="G35" s="213">
        <f aca="true" t="shared" si="3" ref="G35:G42">IF($C$8&gt;0,F35/$C$8,0)</f>
        <v>2.272727272727273</v>
      </c>
    </row>
    <row r="36" spans="2:7" ht="15.75">
      <c r="B36" s="209" t="str">
        <f>'VC-Material Cost'!B26</f>
        <v>Trays</v>
      </c>
      <c r="C36" s="210">
        <f>'VC-Material Cost'!C26</f>
        <v>20</v>
      </c>
      <c r="D36" s="211" t="str">
        <f>'VC-Material Cost'!D26</f>
        <v>trays</v>
      </c>
      <c r="E36" s="210">
        <f>'VC-Material Cost'!E26</f>
        <v>1.2</v>
      </c>
      <c r="F36" s="212">
        <f t="shared" si="2"/>
        <v>24</v>
      </c>
      <c r="G36" s="213">
        <f t="shared" si="3"/>
        <v>2.1818181818181817</v>
      </c>
    </row>
    <row r="37" spans="2:7" ht="15.75">
      <c r="B37" s="209">
        <f>'VC-Material Cost'!B27</f>
        <v>0</v>
      </c>
      <c r="C37" s="210">
        <f>'VC-Material Cost'!C27</f>
        <v>0</v>
      </c>
      <c r="D37" s="211">
        <f>'VC-Material Cost'!D27</f>
        <v>0</v>
      </c>
      <c r="E37" s="210">
        <f>'VC-Material Cost'!E27</f>
        <v>0</v>
      </c>
      <c r="F37" s="212">
        <f t="shared" si="2"/>
        <v>0</v>
      </c>
      <c r="G37" s="213">
        <f t="shared" si="3"/>
        <v>0</v>
      </c>
    </row>
    <row r="38" spans="2:7" ht="15.75">
      <c r="B38" s="209">
        <f>'VC-Material Cost'!B28</f>
        <v>0</v>
      </c>
      <c r="C38" s="210">
        <f>'VC-Material Cost'!C28</f>
        <v>0</v>
      </c>
      <c r="D38" s="211">
        <f>'VC-Material Cost'!D28</f>
        <v>0</v>
      </c>
      <c r="E38" s="210">
        <f>'VC-Material Cost'!E28</f>
        <v>0</v>
      </c>
      <c r="F38" s="212">
        <f t="shared" si="2"/>
        <v>0</v>
      </c>
      <c r="G38" s="213">
        <f t="shared" si="3"/>
        <v>0</v>
      </c>
    </row>
    <row r="39" spans="2:7" ht="15.75">
      <c r="B39" s="209">
        <f>'VC-Material Cost'!B29</f>
        <v>0</v>
      </c>
      <c r="C39" s="210">
        <f>'VC-Material Cost'!C29</f>
        <v>0</v>
      </c>
      <c r="D39" s="211">
        <f>'VC-Material Cost'!D29</f>
        <v>0</v>
      </c>
      <c r="E39" s="210">
        <f>'VC-Material Cost'!E29</f>
        <v>0</v>
      </c>
      <c r="F39" s="212">
        <f t="shared" si="2"/>
        <v>0</v>
      </c>
      <c r="G39" s="213">
        <f t="shared" si="3"/>
        <v>0</v>
      </c>
    </row>
    <row r="40" spans="2:7" ht="15.75">
      <c r="B40" s="209">
        <f>'VC-Material Cost'!B30</f>
        <v>0</v>
      </c>
      <c r="C40" s="210">
        <f>'VC-Material Cost'!C30</f>
        <v>0</v>
      </c>
      <c r="D40" s="211">
        <f>'VC-Material Cost'!D30</f>
        <v>0</v>
      </c>
      <c r="E40" s="210">
        <f>'VC-Material Cost'!E30</f>
        <v>0</v>
      </c>
      <c r="F40" s="212">
        <f t="shared" si="2"/>
        <v>0</v>
      </c>
      <c r="G40" s="213">
        <f t="shared" si="3"/>
        <v>0</v>
      </c>
    </row>
    <row r="41" spans="2:7" ht="15.75">
      <c r="B41" s="209">
        <f>'VC-Material Cost'!B31</f>
        <v>0</v>
      </c>
      <c r="C41" s="210">
        <f>'VC-Material Cost'!C31</f>
        <v>0</v>
      </c>
      <c r="D41" s="211">
        <f>'VC-Material Cost'!D31</f>
        <v>0</v>
      </c>
      <c r="E41" s="210">
        <f>'VC-Material Cost'!E31</f>
        <v>0</v>
      </c>
      <c r="F41" s="212">
        <f t="shared" si="2"/>
        <v>0</v>
      </c>
      <c r="G41" s="213">
        <f t="shared" si="3"/>
        <v>0</v>
      </c>
    </row>
    <row r="42" spans="2:7" ht="15.75">
      <c r="B42" s="209">
        <f>'VC-Material Cost'!B32</f>
        <v>0</v>
      </c>
      <c r="C42" s="210">
        <f>'VC-Material Cost'!C32</f>
        <v>0</v>
      </c>
      <c r="D42" s="211">
        <f>'VC-Material Cost'!D32</f>
        <v>0</v>
      </c>
      <c r="E42" s="210">
        <f>'VC-Material Cost'!E32</f>
        <v>0</v>
      </c>
      <c r="F42" s="212">
        <f t="shared" si="2"/>
        <v>0</v>
      </c>
      <c r="G42" s="213">
        <f t="shared" si="3"/>
        <v>0</v>
      </c>
    </row>
    <row r="43" spans="2:7" ht="15.75">
      <c r="B43" s="204" t="s">
        <v>9</v>
      </c>
      <c r="C43" s="206"/>
      <c r="D43" s="207"/>
      <c r="E43" s="214"/>
      <c r="F43" s="212"/>
      <c r="G43" s="213"/>
    </row>
    <row r="44" spans="2:7" ht="15.75">
      <c r="B44" s="209" t="str">
        <f>'VC-Operational Activities'!B9</f>
        <v>Prepare land (plow, disk, rotovate)</v>
      </c>
      <c r="C44" s="217"/>
      <c r="D44" s="218"/>
      <c r="E44" s="219"/>
      <c r="F44" s="212"/>
      <c r="G44" s="213"/>
    </row>
    <row r="45" spans="2:7" ht="15.75">
      <c r="B45" s="220" t="s">
        <v>84</v>
      </c>
      <c r="C45" s="217">
        <f>'VC-Operational Activities'!C9</f>
        <v>0</v>
      </c>
      <c r="D45" s="218" t="s">
        <v>83</v>
      </c>
      <c r="E45" s="219">
        <f>'VC-Operational Activities'!F9</f>
        <v>12</v>
      </c>
      <c r="F45" s="212">
        <f>C45*E45</f>
        <v>0</v>
      </c>
      <c r="G45" s="213">
        <f>IF($C$8&gt;0,F45/$C$8,0)</f>
        <v>0</v>
      </c>
    </row>
    <row r="46" spans="2:7" ht="15.75">
      <c r="B46" s="220" t="s">
        <v>82</v>
      </c>
      <c r="C46" s="217">
        <f>'VC-Operational Activities'!D9</f>
        <v>0.75</v>
      </c>
      <c r="D46" s="218" t="s">
        <v>83</v>
      </c>
      <c r="E46" s="219">
        <f>'VC-Operational Activities'!G9</f>
        <v>15</v>
      </c>
      <c r="F46" s="212">
        <f>C46*E46</f>
        <v>11.25</v>
      </c>
      <c r="G46" s="213">
        <f>IF($C$8&gt;0,F46/$C$8,0)</f>
        <v>1.0227272727272727</v>
      </c>
    </row>
    <row r="47" spans="2:7" ht="15.75">
      <c r="B47" s="209" t="str">
        <f>'VC-Operational Activities'!B10</f>
        <v>Apply pre-plant amendments (lime, compost)</v>
      </c>
      <c r="C47" s="217"/>
      <c r="D47" s="211"/>
      <c r="E47" s="210"/>
      <c r="F47" s="212"/>
      <c r="G47" s="213"/>
    </row>
    <row r="48" spans="2:7" ht="15.75">
      <c r="B48" s="220" t="s">
        <v>84</v>
      </c>
      <c r="C48" s="217">
        <f>'VC-Operational Activities'!C10</f>
        <v>0</v>
      </c>
      <c r="D48" s="211" t="s">
        <v>83</v>
      </c>
      <c r="E48" s="210">
        <f>'VC-Operational Activities'!F10</f>
        <v>0</v>
      </c>
      <c r="F48" s="212">
        <f>C48*E48</f>
        <v>0</v>
      </c>
      <c r="G48" s="213">
        <f>IF($C$8&gt;0,F48/$C$8,0)</f>
        <v>0</v>
      </c>
    </row>
    <row r="49" spans="2:7" ht="15.75">
      <c r="B49" s="220" t="s">
        <v>82</v>
      </c>
      <c r="C49" s="217">
        <f>'VC-Operational Activities'!D10</f>
        <v>0.75</v>
      </c>
      <c r="D49" s="211" t="s">
        <v>83</v>
      </c>
      <c r="E49" s="210">
        <f>'VC-Operational Activities'!G10</f>
        <v>15</v>
      </c>
      <c r="F49" s="212">
        <f>C49*E49</f>
        <v>11.25</v>
      </c>
      <c r="G49" s="213">
        <f>IF($C$8&gt;0,F49/$C$8,0)</f>
        <v>1.0227272727272727</v>
      </c>
    </row>
    <row r="50" spans="2:7" ht="15.75">
      <c r="B50" s="209" t="str">
        <f>'VC-Operational Activities'!B11</f>
        <v>Prepare for planting (form beds, lay plastic, drip tape, etc)</v>
      </c>
      <c r="C50" s="217"/>
      <c r="D50" s="211"/>
      <c r="E50" s="210"/>
      <c r="F50" s="212"/>
      <c r="G50" s="213"/>
    </row>
    <row r="51" spans="2:7" ht="15.75">
      <c r="B51" s="220" t="s">
        <v>84</v>
      </c>
      <c r="C51" s="217">
        <f>'VC-Operational Activities'!C11</f>
        <v>0</v>
      </c>
      <c r="D51" s="211" t="s">
        <v>83</v>
      </c>
      <c r="E51" s="210">
        <f>'VC-Operational Activities'!F11</f>
        <v>0</v>
      </c>
      <c r="F51" s="212">
        <f>C51*E51</f>
        <v>0</v>
      </c>
      <c r="G51" s="213">
        <f>IF($C$8&gt;0,F51/$C$8,0)</f>
        <v>0</v>
      </c>
    </row>
    <row r="52" spans="2:7" ht="15.75">
      <c r="B52" s="220" t="s">
        <v>82</v>
      </c>
      <c r="C52" s="217">
        <f>'VC-Operational Activities'!D11</f>
        <v>0</v>
      </c>
      <c r="D52" s="211" t="s">
        <v>83</v>
      </c>
      <c r="E52" s="210">
        <f>'VC-Operational Activities'!G11</f>
        <v>0</v>
      </c>
      <c r="F52" s="212">
        <f>C52*E52</f>
        <v>0</v>
      </c>
      <c r="G52" s="213">
        <f>IF($C$8&gt;0,F52/$C$8,0)</f>
        <v>0</v>
      </c>
    </row>
    <row r="53" spans="2:7" ht="15.75">
      <c r="B53" s="221" t="s">
        <v>10</v>
      </c>
      <c r="C53" s="206"/>
      <c r="D53" s="222"/>
      <c r="E53" s="215"/>
      <c r="F53" s="212"/>
      <c r="G53" s="213"/>
    </row>
    <row r="54" spans="2:7" ht="15.75">
      <c r="B54" s="223" t="str">
        <f>'VC-Operational Activities'!B14</f>
        <v>Seeding</v>
      </c>
      <c r="C54" s="224"/>
      <c r="D54" s="225"/>
      <c r="E54" s="226"/>
      <c r="F54" s="212"/>
      <c r="G54" s="213"/>
    </row>
    <row r="55" spans="2:7" ht="15.75">
      <c r="B55" s="227" t="s">
        <v>84</v>
      </c>
      <c r="C55" s="224">
        <f>'VC-Operational Activities'!C14</f>
        <v>0</v>
      </c>
      <c r="D55" s="225" t="s">
        <v>83</v>
      </c>
      <c r="E55" s="226">
        <f>'VC-Operational Activities'!F14</f>
        <v>0</v>
      </c>
      <c r="F55" s="212">
        <f>C55*E55</f>
        <v>0</v>
      </c>
      <c r="G55" s="213">
        <f>IF($C$8&gt;0,F55/$C$8,0)</f>
        <v>0</v>
      </c>
    </row>
    <row r="56" spans="2:7" ht="15.75">
      <c r="B56" s="223" t="s">
        <v>88</v>
      </c>
      <c r="C56" s="224">
        <f>'VC-Operational Activities'!D14</f>
        <v>0</v>
      </c>
      <c r="D56" s="225"/>
      <c r="E56" s="226">
        <f>'VC-Operational Activities'!G14</f>
        <v>0</v>
      </c>
      <c r="F56" s="212">
        <f>C56*E56</f>
        <v>0</v>
      </c>
      <c r="G56" s="213">
        <f>IF($C$8&gt;0,F56/$C$8,0)</f>
        <v>0</v>
      </c>
    </row>
    <row r="57" spans="2:7" ht="15.75">
      <c r="B57" s="223" t="str">
        <f>'VC-Operational Activities'!B15</f>
        <v>Transplanting ( potting up, moving, transplanting)</v>
      </c>
      <c r="C57" s="224"/>
      <c r="D57" s="225"/>
      <c r="E57" s="226"/>
      <c r="F57" s="212"/>
      <c r="G57" s="213"/>
    </row>
    <row r="58" spans="2:7" ht="15.75">
      <c r="B58" s="227" t="s">
        <v>84</v>
      </c>
      <c r="C58" s="224">
        <f>'VC-Operational Activities'!C15</f>
        <v>10</v>
      </c>
      <c r="D58" s="225" t="s">
        <v>83</v>
      </c>
      <c r="E58" s="226">
        <f>'VC-Operational Activities'!F15</f>
        <v>12</v>
      </c>
      <c r="F58" s="212">
        <f>C58*E58</f>
        <v>120</v>
      </c>
      <c r="G58" s="213">
        <f>IF($C$8&gt;0,F58/$C$8,0)</f>
        <v>10.909090909090908</v>
      </c>
    </row>
    <row r="59" spans="2:7" ht="15.75">
      <c r="B59" s="223" t="s">
        <v>88</v>
      </c>
      <c r="C59" s="224">
        <f>'VC-Operational Activities'!D15</f>
        <v>0</v>
      </c>
      <c r="D59" s="225"/>
      <c r="E59" s="226">
        <f>'VC-Operational Activities'!G15</f>
        <v>0</v>
      </c>
      <c r="F59" s="212">
        <f>C59*E59</f>
        <v>0</v>
      </c>
      <c r="G59" s="213">
        <f>IF($C$8&gt;0,F59/$C$8,0)</f>
        <v>0</v>
      </c>
    </row>
    <row r="60" spans="2:7" ht="15.75">
      <c r="B60" s="204" t="s">
        <v>12</v>
      </c>
      <c r="C60" s="205"/>
      <c r="D60" s="206"/>
      <c r="E60" s="214"/>
      <c r="F60" s="212"/>
      <c r="G60" s="213"/>
    </row>
    <row r="61" spans="2:7" ht="15.75">
      <c r="B61" s="209" t="str">
        <f>'VC-Operational Activities'!B18</f>
        <v>Weeding</v>
      </c>
      <c r="C61" s="228"/>
      <c r="D61" s="217"/>
      <c r="E61" s="219"/>
      <c r="F61" s="212"/>
      <c r="G61" s="213"/>
    </row>
    <row r="62" spans="2:7" ht="15.75">
      <c r="B62" s="220" t="s">
        <v>84</v>
      </c>
      <c r="C62" s="228">
        <f>'VC-Operational Activities'!C18</f>
        <v>16</v>
      </c>
      <c r="D62" s="217" t="s">
        <v>83</v>
      </c>
      <c r="E62" s="219">
        <f>'VC-Operational Activities'!F18</f>
        <v>12</v>
      </c>
      <c r="F62" s="212">
        <f>C62*E62</f>
        <v>192</v>
      </c>
      <c r="G62" s="213">
        <f>IF($C$8&gt;0,F62/$C$8,0)</f>
        <v>17.454545454545453</v>
      </c>
    </row>
    <row r="63" spans="2:7" ht="15.75">
      <c r="B63" s="220" t="s">
        <v>82</v>
      </c>
      <c r="C63" s="228">
        <f>'VC-Operational Activities'!D18</f>
        <v>0</v>
      </c>
      <c r="D63" s="217" t="s">
        <v>83</v>
      </c>
      <c r="E63" s="219">
        <f>'VC-Operational Activities'!G18</f>
        <v>0</v>
      </c>
      <c r="F63" s="212">
        <f>C63*E63</f>
        <v>0</v>
      </c>
      <c r="G63" s="213">
        <f>IF($C$8&gt;0,F63/$C$8,0)</f>
        <v>0</v>
      </c>
    </row>
    <row r="64" spans="2:7" ht="15.75">
      <c r="B64" s="209" t="str">
        <f>'VC-Operational Activities'!B19</f>
        <v>Spraying BT</v>
      </c>
      <c r="C64" s="228"/>
      <c r="D64" s="217"/>
      <c r="E64" s="219"/>
      <c r="F64" s="212"/>
      <c r="G64" s="213"/>
    </row>
    <row r="65" spans="2:7" ht="15.75">
      <c r="B65" s="220" t="s">
        <v>84</v>
      </c>
      <c r="C65" s="228">
        <f>'VC-Operational Activities'!C19</f>
        <v>0</v>
      </c>
      <c r="D65" s="217" t="s">
        <v>83</v>
      </c>
      <c r="E65" s="219">
        <f>'VC-Operational Activities'!F19</f>
        <v>0</v>
      </c>
      <c r="F65" s="212">
        <f>C65*E65</f>
        <v>0</v>
      </c>
      <c r="G65" s="213">
        <f>IF($C$8&gt;0,F65/$C$8,0)</f>
        <v>0</v>
      </c>
    </row>
    <row r="66" spans="2:7" ht="15.75">
      <c r="B66" s="220" t="s">
        <v>82</v>
      </c>
      <c r="C66" s="228">
        <f>'VC-Operational Activities'!D19</f>
        <v>0</v>
      </c>
      <c r="D66" s="217" t="s">
        <v>83</v>
      </c>
      <c r="E66" s="219">
        <f>'VC-Operational Activities'!G19</f>
        <v>0</v>
      </c>
      <c r="F66" s="212">
        <f>C66*E66</f>
        <v>0</v>
      </c>
      <c r="G66" s="213">
        <f>IF($C$8&gt;0,F66/$C$8,0)</f>
        <v>0</v>
      </c>
    </row>
    <row r="67" spans="2:7" ht="15.75">
      <c r="B67" s="209" t="str">
        <f>'VC-Operational Activities'!B20</f>
        <v>Scout crop for pests </v>
      </c>
      <c r="C67" s="228"/>
      <c r="D67" s="217"/>
      <c r="E67" s="219"/>
      <c r="F67" s="212"/>
      <c r="G67" s="213"/>
    </row>
    <row r="68" spans="2:7" ht="15.75">
      <c r="B68" s="220" t="s">
        <v>84</v>
      </c>
      <c r="C68" s="228">
        <f>'VC-Operational Activities'!C20</f>
        <v>0</v>
      </c>
      <c r="D68" s="217" t="s">
        <v>83</v>
      </c>
      <c r="E68" s="219">
        <f>'VC-Operational Activities'!F20</f>
        <v>0</v>
      </c>
      <c r="F68" s="212">
        <f>C68*E68</f>
        <v>0</v>
      </c>
      <c r="G68" s="213">
        <f>IF($C$8&gt;0,F68/$C$8,0)</f>
        <v>0</v>
      </c>
    </row>
    <row r="69" spans="2:7" ht="15.75">
      <c r="B69" s="220" t="s">
        <v>82</v>
      </c>
      <c r="C69" s="228">
        <f>'VC-Operational Activities'!D20</f>
        <v>0</v>
      </c>
      <c r="D69" s="217"/>
      <c r="E69" s="219">
        <f>'VC-Operational Activities'!G20</f>
        <v>0</v>
      </c>
      <c r="F69" s="212">
        <f>C69*E69</f>
        <v>0</v>
      </c>
      <c r="G69" s="213">
        <f>IF($C$8&gt;0,F69/$C$8,0)</f>
        <v>0</v>
      </c>
    </row>
    <row r="70" spans="2:7" ht="15.75">
      <c r="B70" s="209" t="str">
        <f>'VC-Operational Activities'!B21</f>
        <v>A</v>
      </c>
      <c r="C70" s="228"/>
      <c r="D70" s="217"/>
      <c r="E70" s="219"/>
      <c r="F70" s="212"/>
      <c r="G70" s="213"/>
    </row>
    <row r="71" spans="2:7" ht="15.75">
      <c r="B71" s="220" t="s">
        <v>84</v>
      </c>
      <c r="C71" s="228">
        <f>'VC-Operational Activities'!C21</f>
        <v>0</v>
      </c>
      <c r="D71" s="217" t="s">
        <v>83</v>
      </c>
      <c r="E71" s="219">
        <f>'VC-Operational Activities'!F21</f>
        <v>0</v>
      </c>
      <c r="F71" s="212">
        <f>C71*E71</f>
        <v>0</v>
      </c>
      <c r="G71" s="213">
        <f>IF($C$8&gt;0,F71/$C$8,0)</f>
        <v>0</v>
      </c>
    </row>
    <row r="72" spans="2:7" ht="15.75">
      <c r="B72" s="220" t="s">
        <v>82</v>
      </c>
      <c r="C72" s="228">
        <f>'VC-Operational Activities'!D21</f>
        <v>0</v>
      </c>
      <c r="D72" s="217" t="s">
        <v>83</v>
      </c>
      <c r="E72" s="219">
        <f>'VC-Operational Activities'!G21</f>
        <v>0</v>
      </c>
      <c r="F72" s="212">
        <f>C72*E72</f>
        <v>0</v>
      </c>
      <c r="G72" s="213">
        <f>IF($C$8&gt;0,F72/$C$8,0)</f>
        <v>0</v>
      </c>
    </row>
    <row r="73" spans="2:7" ht="15.75">
      <c r="B73" s="209" t="str">
        <f>'VC-Operational Activities'!B22</f>
        <v>B</v>
      </c>
      <c r="C73" s="228"/>
      <c r="D73" s="217"/>
      <c r="E73" s="219"/>
      <c r="F73" s="212"/>
      <c r="G73" s="213"/>
    </row>
    <row r="74" spans="2:7" ht="15.75">
      <c r="B74" s="220" t="s">
        <v>84</v>
      </c>
      <c r="C74" s="228">
        <f>'VC-Operational Activities'!C22</f>
        <v>0</v>
      </c>
      <c r="D74" s="217" t="s">
        <v>83</v>
      </c>
      <c r="E74" s="219">
        <f>'VC-Operational Activities'!F22</f>
        <v>0</v>
      </c>
      <c r="F74" s="212">
        <f>C74*E74</f>
        <v>0</v>
      </c>
      <c r="G74" s="213">
        <f>IF($C$8&gt;0,F74/$C$8,0)</f>
        <v>0</v>
      </c>
    </row>
    <row r="75" spans="2:7" ht="15.75">
      <c r="B75" s="220" t="s">
        <v>82</v>
      </c>
      <c r="C75" s="228">
        <f>'VC-Operational Activities'!D22</f>
        <v>0</v>
      </c>
      <c r="D75" s="217" t="s">
        <v>83</v>
      </c>
      <c r="E75" s="219">
        <f>'VC-Operational Activities'!G22</f>
        <v>0</v>
      </c>
      <c r="F75" s="212">
        <f>C75*E75</f>
        <v>0</v>
      </c>
      <c r="G75" s="213">
        <f>IF($C$8&gt;0,F75/$C$8,0)</f>
        <v>0</v>
      </c>
    </row>
    <row r="76" spans="2:7" ht="15.75">
      <c r="B76" s="220" t="str">
        <f>'VC-Operational Activities'!B23</f>
        <v>C</v>
      </c>
      <c r="C76" s="228"/>
      <c r="D76" s="217"/>
      <c r="E76" s="219"/>
      <c r="F76" s="212"/>
      <c r="G76" s="213"/>
    </row>
    <row r="77" spans="2:7" ht="15.75">
      <c r="B77" s="220" t="s">
        <v>84</v>
      </c>
      <c r="C77" s="228">
        <f>'VC-Operational Activities'!C23</f>
        <v>0</v>
      </c>
      <c r="D77" s="217"/>
      <c r="E77" s="219">
        <f>'VC-Operational Activities'!F23</f>
        <v>0</v>
      </c>
      <c r="F77" s="212">
        <f>C77*E77</f>
        <v>0</v>
      </c>
      <c r="G77" s="213">
        <f>IF($C$8&gt;0,F77/$C$8,0)</f>
        <v>0</v>
      </c>
    </row>
    <row r="78" spans="2:7" ht="15.75">
      <c r="B78" s="220" t="s">
        <v>82</v>
      </c>
      <c r="C78" s="228">
        <f>'VC-Operational Activities'!C24</f>
        <v>0</v>
      </c>
      <c r="D78" s="217"/>
      <c r="E78" s="219">
        <f>'VC-Operational Activities'!G23</f>
        <v>0</v>
      </c>
      <c r="F78" s="212">
        <f>C78*E78</f>
        <v>0</v>
      </c>
      <c r="G78" s="213">
        <f>IF($C$8&gt;0,F78/$C$8,0)</f>
        <v>0</v>
      </c>
    </row>
    <row r="79" spans="2:7" ht="15.75">
      <c r="B79" s="220" t="str">
        <f>'VC-Operational Activities'!B24</f>
        <v>D</v>
      </c>
      <c r="C79" s="228"/>
      <c r="D79" s="217"/>
      <c r="E79" s="219"/>
      <c r="F79" s="212"/>
      <c r="G79" s="213"/>
    </row>
    <row r="80" spans="2:7" ht="15.75">
      <c r="B80" s="220" t="s">
        <v>84</v>
      </c>
      <c r="C80" s="228">
        <f>'VC-Operational Activities'!C24</f>
        <v>0</v>
      </c>
      <c r="D80" s="217"/>
      <c r="E80" s="219">
        <f>'VC-Operational Activities'!F24</f>
        <v>0</v>
      </c>
      <c r="F80" s="212">
        <f>C80*E80</f>
        <v>0</v>
      </c>
      <c r="G80" s="213">
        <f>IF($C$8&gt;0,F80/$C$8,0)</f>
        <v>0</v>
      </c>
    </row>
    <row r="81" spans="2:7" ht="15.75">
      <c r="B81" s="220" t="s">
        <v>82</v>
      </c>
      <c r="C81" s="228">
        <f>'VC-Operational Activities'!D24</f>
        <v>0</v>
      </c>
      <c r="D81" s="217"/>
      <c r="E81" s="219">
        <f>'VC-Operational Activities'!G24</f>
        <v>0</v>
      </c>
      <c r="F81" s="212">
        <f>C81*E81</f>
        <v>0</v>
      </c>
      <c r="G81" s="213">
        <f>IF($C$8&gt;0,F81/$C$8,0)</f>
        <v>0</v>
      </c>
    </row>
    <row r="82" spans="2:7" ht="15.75">
      <c r="B82" s="221" t="s">
        <v>55</v>
      </c>
      <c r="C82" s="224"/>
      <c r="D82" s="225"/>
      <c r="E82" s="226"/>
      <c r="F82" s="212"/>
      <c r="G82" s="213"/>
    </row>
    <row r="83" spans="2:7" ht="15.75">
      <c r="B83" s="223" t="str">
        <f>'VC-Operational Activities'!B27</f>
        <v>Irrigating (set up, manage drip)</v>
      </c>
      <c r="C83" s="224"/>
      <c r="D83" s="225"/>
      <c r="E83" s="226"/>
      <c r="F83" s="212"/>
      <c r="G83" s="213"/>
    </row>
    <row r="84" spans="2:7" ht="15.75">
      <c r="B84" s="227" t="s">
        <v>84</v>
      </c>
      <c r="C84" s="224">
        <f>'VC-Operational Activities'!C27</f>
        <v>5</v>
      </c>
      <c r="D84" s="225" t="s">
        <v>83</v>
      </c>
      <c r="E84" s="226">
        <f>'VC-Operational Activities'!F27</f>
        <v>12</v>
      </c>
      <c r="F84" s="212">
        <f>C84*E84</f>
        <v>60</v>
      </c>
      <c r="G84" s="213">
        <f>IF($C$8&gt;0,F84/$C$8,0)</f>
        <v>5.454545454545454</v>
      </c>
    </row>
    <row r="85" spans="2:7" ht="15.75">
      <c r="B85" s="227" t="s">
        <v>82</v>
      </c>
      <c r="C85" s="224">
        <f>'VC-Operational Activities'!D27</f>
        <v>0</v>
      </c>
      <c r="D85" s="225"/>
      <c r="E85" s="226">
        <f>'VC-Operational Activities'!G27</f>
        <v>0</v>
      </c>
      <c r="F85" s="212">
        <f>C85*E85</f>
        <v>0</v>
      </c>
      <c r="G85" s="213">
        <f>IF($C$8&gt;0,F85/$C$8,0)</f>
        <v>0</v>
      </c>
    </row>
    <row r="86" spans="2:7" ht="15.75">
      <c r="B86" s="223" t="str">
        <f>'VC-Operational Activities'!B28</f>
        <v>Pruning</v>
      </c>
      <c r="C86" s="217"/>
      <c r="D86" s="229"/>
      <c r="E86" s="210"/>
      <c r="F86" s="212"/>
      <c r="G86" s="213"/>
    </row>
    <row r="87" spans="2:7" ht="15.75">
      <c r="B87" s="227" t="s">
        <v>84</v>
      </c>
      <c r="C87" s="217">
        <f>'VC-Operational Activities'!C28</f>
        <v>0</v>
      </c>
      <c r="D87" s="229"/>
      <c r="E87" s="210">
        <f>'VC-Operational Activities'!F28</f>
        <v>0</v>
      </c>
      <c r="F87" s="212">
        <f>C87*E87</f>
        <v>0</v>
      </c>
      <c r="G87" s="213">
        <f>IF($C$8&gt;0,F87/$C$8,0)</f>
        <v>0</v>
      </c>
    </row>
    <row r="88" spans="2:7" ht="15.75">
      <c r="B88" s="227" t="s">
        <v>82</v>
      </c>
      <c r="C88" s="217">
        <f>'VC-Operational Activities'!D28</f>
        <v>0</v>
      </c>
      <c r="D88" s="229"/>
      <c r="E88" s="210">
        <f>'VC-Operational Activities'!G28</f>
        <v>0</v>
      </c>
      <c r="F88" s="212">
        <f>C88*E88</f>
        <v>0</v>
      </c>
      <c r="G88" s="213">
        <f>IF($C$8&gt;0,F88/$C$8,0)</f>
        <v>0</v>
      </c>
    </row>
    <row r="89" spans="2:7" ht="15.75">
      <c r="B89" s="223" t="str">
        <f>'VC-Operational Activities'!B29</f>
        <v>C</v>
      </c>
      <c r="C89" s="217"/>
      <c r="D89" s="229"/>
      <c r="E89" s="210"/>
      <c r="F89" s="212"/>
      <c r="G89" s="213"/>
    </row>
    <row r="90" spans="2:7" ht="15.75">
      <c r="B90" s="227" t="s">
        <v>84</v>
      </c>
      <c r="C90" s="217">
        <f>'VC-Operational Activities'!C30</f>
        <v>0</v>
      </c>
      <c r="D90" s="229"/>
      <c r="E90" s="210">
        <f>'VC-Operational Activities'!F30</f>
        <v>0</v>
      </c>
      <c r="F90" s="212">
        <f>C90*E90</f>
        <v>0</v>
      </c>
      <c r="G90" s="213">
        <f>IF($C$8&gt;0,F90/$C$8,0)</f>
        <v>0</v>
      </c>
    </row>
    <row r="91" spans="2:7" ht="15.75">
      <c r="B91" s="227" t="s">
        <v>82</v>
      </c>
      <c r="C91" s="217">
        <f>'VC-Operational Activities'!D30</f>
        <v>0</v>
      </c>
      <c r="D91" s="229"/>
      <c r="E91" s="210">
        <f>'VC-Operational Activities'!G30</f>
        <v>0</v>
      </c>
      <c r="F91" s="212">
        <f>C91*E91</f>
        <v>0</v>
      </c>
      <c r="G91" s="213">
        <f>IF($C$8&gt;0,F91/$C$8,0)</f>
        <v>0</v>
      </c>
    </row>
    <row r="92" spans="2:7" ht="15.75">
      <c r="B92" s="223" t="str">
        <f>'VC-Operational Activities'!B30</f>
        <v>D</v>
      </c>
      <c r="C92" s="217"/>
      <c r="D92" s="229"/>
      <c r="E92" s="210"/>
      <c r="F92" s="212"/>
      <c r="G92" s="213"/>
    </row>
    <row r="93" spans="2:7" ht="15.75">
      <c r="B93" s="227" t="s">
        <v>84</v>
      </c>
      <c r="C93" s="217">
        <f>'VC-Operational Activities'!C30</f>
        <v>0</v>
      </c>
      <c r="D93" s="229"/>
      <c r="E93" s="210">
        <f>'VC-Operational Activities'!F30</f>
        <v>0</v>
      </c>
      <c r="F93" s="212">
        <f>C93*E93</f>
        <v>0</v>
      </c>
      <c r="G93" s="213">
        <f>IF($C$8&gt;0,F93/$C$8,0)</f>
        <v>0</v>
      </c>
    </row>
    <row r="94" spans="2:7" ht="15.75">
      <c r="B94" s="227" t="s">
        <v>82</v>
      </c>
      <c r="C94" s="217">
        <f>'VC-Operational Activities'!D30</f>
        <v>0</v>
      </c>
      <c r="D94" s="229"/>
      <c r="E94" s="210">
        <f>'VC-Operational Activities'!G30</f>
        <v>0</v>
      </c>
      <c r="F94" s="212">
        <f>C94*E94</f>
        <v>0</v>
      </c>
      <c r="G94" s="213">
        <f>IF($C$8&gt;0,F94/$C$8,0)</f>
        <v>0</v>
      </c>
    </row>
    <row r="95" spans="2:7" ht="15.75">
      <c r="B95" s="223" t="str">
        <f>'VC-Operational Activities'!B31</f>
        <v>E</v>
      </c>
      <c r="C95" s="217"/>
      <c r="D95" s="229"/>
      <c r="E95" s="210"/>
      <c r="F95" s="212"/>
      <c r="G95" s="213"/>
    </row>
    <row r="96" spans="2:7" ht="15.75">
      <c r="B96" s="227" t="s">
        <v>84</v>
      </c>
      <c r="C96" s="217">
        <f>'VC-Operational Activities'!C31</f>
        <v>0</v>
      </c>
      <c r="D96" s="229"/>
      <c r="E96" s="210">
        <f>'VC-Operational Activities'!F31</f>
        <v>0</v>
      </c>
      <c r="F96" s="212">
        <f>C96*E96</f>
        <v>0</v>
      </c>
      <c r="G96" s="213">
        <f>IF($C$8&gt;0,F96/$C$8,0)</f>
        <v>0</v>
      </c>
    </row>
    <row r="97" spans="2:7" ht="15.75">
      <c r="B97" s="227" t="s">
        <v>82</v>
      </c>
      <c r="C97" s="217">
        <f>'VC-Operational Activities'!D31</f>
        <v>0</v>
      </c>
      <c r="D97" s="229"/>
      <c r="E97" s="210">
        <f>'VC-Operational Activities'!G31</f>
        <v>0</v>
      </c>
      <c r="F97" s="212">
        <f>C97*E97</f>
        <v>0</v>
      </c>
      <c r="G97" s="213">
        <f>IF($C$8&gt;0,F97/$C$8,0)</f>
        <v>0</v>
      </c>
    </row>
    <row r="98" spans="2:7" ht="15.75">
      <c r="B98" s="221" t="s">
        <v>95</v>
      </c>
      <c r="C98" s="206"/>
      <c r="D98" s="222"/>
      <c r="E98" s="215"/>
      <c r="F98" s="212"/>
      <c r="G98" s="213"/>
    </row>
    <row r="99" spans="2:7" ht="15.75">
      <c r="B99" s="223" t="str">
        <f>'VC-Operational Activities'!B34</f>
        <v>Harvesting (picking, washing, grading)</v>
      </c>
      <c r="C99" s="224"/>
      <c r="D99" s="225"/>
      <c r="E99" s="226"/>
      <c r="F99" s="212"/>
      <c r="G99" s="213"/>
    </row>
    <row r="100" spans="2:7" ht="15.75">
      <c r="B100" s="227" t="s">
        <v>84</v>
      </c>
      <c r="C100" s="224">
        <f>'VC-Operational Activities'!C34</f>
        <v>120</v>
      </c>
      <c r="D100" s="225" t="s">
        <v>83</v>
      </c>
      <c r="E100" s="226">
        <f>'VC-Operational Activities'!F34</f>
        <v>12</v>
      </c>
      <c r="F100" s="212">
        <f>C100*E100</f>
        <v>1440</v>
      </c>
      <c r="G100" s="213">
        <f>IF($C$8&gt;0,F100/$C$8,0)</f>
        <v>130.9090909090909</v>
      </c>
    </row>
    <row r="101" spans="2:7" ht="15.75">
      <c r="B101" s="227" t="s">
        <v>82</v>
      </c>
      <c r="C101" s="224">
        <f>'VC-Operational Activities'!D34</f>
        <v>0</v>
      </c>
      <c r="D101" s="225" t="s">
        <v>83</v>
      </c>
      <c r="E101" s="226">
        <f>'VC-Operational Activities'!G34</f>
        <v>0</v>
      </c>
      <c r="F101" s="212">
        <f>C101*E101</f>
        <v>0</v>
      </c>
      <c r="G101" s="213">
        <f>IF($C$8&gt;0,F101/$C$8,0)</f>
        <v>0</v>
      </c>
    </row>
    <row r="102" spans="2:7" ht="15.75">
      <c r="B102" s="223" t="str">
        <f>'VC-Operational Activities'!B35</f>
        <v>Post-harvest handling (wash, sort, pack, store)</v>
      </c>
      <c r="C102" s="217"/>
      <c r="D102" s="229"/>
      <c r="E102" s="210"/>
      <c r="F102" s="212"/>
      <c r="G102" s="213"/>
    </row>
    <row r="103" spans="2:7" ht="15.75">
      <c r="B103" s="227" t="s">
        <v>84</v>
      </c>
      <c r="C103" s="217">
        <f>'VC-Operational Activities'!C35</f>
        <v>0</v>
      </c>
      <c r="D103" s="225" t="s">
        <v>83</v>
      </c>
      <c r="E103" s="210">
        <f>'VC-Operational Activities'!F35</f>
        <v>0</v>
      </c>
      <c r="F103" s="212">
        <f>C103*E103</f>
        <v>0</v>
      </c>
      <c r="G103" s="213">
        <f>IF($C$8&gt;0,F103/$C$8,0)</f>
        <v>0</v>
      </c>
    </row>
    <row r="104" spans="2:7" ht="15.75">
      <c r="B104" s="227" t="s">
        <v>82</v>
      </c>
      <c r="C104" s="217">
        <f>'VC-Operational Activities'!D35</f>
        <v>0</v>
      </c>
      <c r="D104" s="225" t="s">
        <v>83</v>
      </c>
      <c r="E104" s="210">
        <f>'VC-Operational Activities'!G35</f>
        <v>0</v>
      </c>
      <c r="F104" s="212">
        <f>C104*E104</f>
        <v>0</v>
      </c>
      <c r="G104" s="213">
        <f>IF($C$8&gt;0,F104/$C$8,0)</f>
        <v>0</v>
      </c>
    </row>
    <row r="105" spans="2:7" ht="15.75">
      <c r="B105" s="223" t="str">
        <f>'VC-Operational Activities'!B36</f>
        <v>Field clean up (remove of trellis)</v>
      </c>
      <c r="C105" s="217"/>
      <c r="D105" s="229"/>
      <c r="E105" s="210"/>
      <c r="F105" s="212"/>
      <c r="G105" s="213"/>
    </row>
    <row r="106" spans="2:7" ht="15.75">
      <c r="B106" s="227" t="s">
        <v>84</v>
      </c>
      <c r="C106" s="217">
        <f>'VC-Operational Activities'!C36</f>
        <v>0</v>
      </c>
      <c r="D106" s="229" t="s">
        <v>83</v>
      </c>
      <c r="E106" s="210">
        <f>'VC-Operational Activities'!F36</f>
        <v>0</v>
      </c>
      <c r="F106" s="212">
        <f>C106*E106</f>
        <v>0</v>
      </c>
      <c r="G106" s="213">
        <f aca="true" t="shared" si="4" ref="G106:G125">IF($C$8&gt;0,F106/$C$8,0)</f>
        <v>0</v>
      </c>
    </row>
    <row r="107" spans="2:7" ht="15.75">
      <c r="B107" s="227" t="s">
        <v>82</v>
      </c>
      <c r="C107" s="217">
        <f>'VC-Operational Activities'!D36</f>
        <v>0</v>
      </c>
      <c r="D107" s="229" t="s">
        <v>83</v>
      </c>
      <c r="E107" s="210">
        <f>'VC-Operational Activities'!G36</f>
        <v>0</v>
      </c>
      <c r="F107" s="212">
        <f>C107*E107</f>
        <v>0</v>
      </c>
      <c r="G107" s="213">
        <f t="shared" si="4"/>
        <v>0</v>
      </c>
    </row>
    <row r="108" spans="2:7" ht="15.75">
      <c r="B108" s="227" t="str">
        <f>'VC-Operational Activities'!B37</f>
        <v>D</v>
      </c>
      <c r="C108" s="217"/>
      <c r="D108" s="229"/>
      <c r="E108" s="210"/>
      <c r="F108" s="212"/>
      <c r="G108" s="213"/>
    </row>
    <row r="109" spans="2:7" ht="15.75">
      <c r="B109" s="227" t="s">
        <v>84</v>
      </c>
      <c r="C109" s="217">
        <f>'VC-Operational Activities'!C37</f>
        <v>0</v>
      </c>
      <c r="D109" s="229"/>
      <c r="E109" s="210">
        <f>'VC-Operational Activities'!F37</f>
        <v>0</v>
      </c>
      <c r="F109" s="212">
        <f>C109*E109</f>
        <v>0</v>
      </c>
      <c r="G109" s="213">
        <f>IF($C$8&gt;0,F109/$C$8,0)</f>
        <v>0</v>
      </c>
    </row>
    <row r="110" spans="2:7" ht="15.75">
      <c r="B110" s="227" t="s">
        <v>82</v>
      </c>
      <c r="C110" s="217">
        <f>'VC-Operational Activities'!D37</f>
        <v>0</v>
      </c>
      <c r="D110" s="229"/>
      <c r="E110" s="210">
        <f>'VC-Operational Activities'!G37</f>
        <v>0</v>
      </c>
      <c r="F110" s="212">
        <f>C110*E110</f>
        <v>0</v>
      </c>
      <c r="G110" s="213">
        <f>IF($C$8&gt;0,F110/$C$8,0)</f>
        <v>0</v>
      </c>
    </row>
    <row r="111" spans="2:7" ht="15.75">
      <c r="B111" s="227" t="str">
        <f>'VC-Operational Activities'!B38</f>
        <v>E</v>
      </c>
      <c r="C111" s="217"/>
      <c r="D111" s="229"/>
      <c r="E111" s="210"/>
      <c r="F111" s="212"/>
      <c r="G111" s="213"/>
    </row>
    <row r="112" spans="2:7" ht="15.75">
      <c r="B112" s="227" t="s">
        <v>84</v>
      </c>
      <c r="C112" s="217">
        <f>'VC-Operational Activities'!C38</f>
        <v>0</v>
      </c>
      <c r="D112" s="229"/>
      <c r="E112" s="210">
        <f>'VC-Operational Activities'!F38</f>
        <v>0</v>
      </c>
      <c r="F112" s="212">
        <f>C112*E112</f>
        <v>0</v>
      </c>
      <c r="G112" s="213">
        <f>IF($C$8&gt;0,F112/$C$8,0)</f>
        <v>0</v>
      </c>
    </row>
    <row r="113" spans="2:7" ht="15.75">
      <c r="B113" s="227" t="s">
        <v>82</v>
      </c>
      <c r="C113" s="217">
        <f>'VC-Operational Activities'!D38</f>
        <v>0</v>
      </c>
      <c r="D113" s="229"/>
      <c r="E113" s="210">
        <f>'VC-Operational Activities'!G38</f>
        <v>0</v>
      </c>
      <c r="F113" s="212">
        <f>C113*E113</f>
        <v>0</v>
      </c>
      <c r="G113" s="213">
        <f>IF($C$8&gt;0,F113/$C$8,0)</f>
        <v>0</v>
      </c>
    </row>
    <row r="114" spans="2:7" ht="15.75">
      <c r="B114" s="227" t="str">
        <f>'VC-Operational Activities'!B39</f>
        <v>F</v>
      </c>
      <c r="C114" s="217"/>
      <c r="D114" s="229"/>
      <c r="E114" s="210"/>
      <c r="F114" s="212"/>
      <c r="G114" s="213"/>
    </row>
    <row r="115" spans="2:7" ht="15.75">
      <c r="B115" s="227" t="s">
        <v>84</v>
      </c>
      <c r="C115" s="217">
        <f>'VC-Operational Activities'!C39</f>
        <v>0</v>
      </c>
      <c r="D115" s="229"/>
      <c r="E115" s="210">
        <f>'VC-Operational Activities'!F39</f>
        <v>0</v>
      </c>
      <c r="F115" s="212">
        <f>C115*E115</f>
        <v>0</v>
      </c>
      <c r="G115" s="213">
        <f>IF($C$8&gt;0,F115/$C$8,0)</f>
        <v>0</v>
      </c>
    </row>
    <row r="116" spans="2:7" ht="15.75">
      <c r="B116" s="227" t="s">
        <v>82</v>
      </c>
      <c r="C116" s="217">
        <f>'VC-Operational Activities'!D39</f>
        <v>0</v>
      </c>
      <c r="D116" s="229"/>
      <c r="E116" s="210">
        <f>'VC-Operational Activities'!G39</f>
        <v>0</v>
      </c>
      <c r="F116" s="212">
        <f>C116*E116</f>
        <v>0</v>
      </c>
      <c r="G116" s="213">
        <f>IF($C$8&gt;0,F116/$C$8,0)</f>
        <v>0</v>
      </c>
    </row>
    <row r="117" spans="2:7" ht="15.75">
      <c r="B117" s="221" t="s">
        <v>73</v>
      </c>
      <c r="C117" s="217"/>
      <c r="D117" s="217"/>
      <c r="E117" s="210"/>
      <c r="F117" s="212"/>
      <c r="G117" s="213"/>
    </row>
    <row r="118" spans="2:7" ht="15.75">
      <c r="B118" s="223" t="s">
        <v>229</v>
      </c>
      <c r="C118" s="217"/>
      <c r="D118" s="217"/>
      <c r="E118" s="210"/>
      <c r="F118" s="212">
        <f>'VC-Operational Activities'!K48</f>
        <v>0</v>
      </c>
      <c r="G118" s="213">
        <f t="shared" si="4"/>
        <v>0</v>
      </c>
    </row>
    <row r="119" spans="2:7" ht="15.75">
      <c r="B119" s="223" t="s">
        <v>188</v>
      </c>
      <c r="C119" s="217"/>
      <c r="D119" s="217"/>
      <c r="E119" s="210"/>
      <c r="F119" s="212">
        <f>'Fixed Costs &amp; Overhead Charges'!O97</f>
        <v>112.76723276723277</v>
      </c>
      <c r="G119" s="213">
        <f t="shared" si="4"/>
        <v>10.251566615202979</v>
      </c>
    </row>
    <row r="120" spans="2:7" ht="15.75">
      <c r="B120" s="223" t="s">
        <v>89</v>
      </c>
      <c r="C120" s="217"/>
      <c r="D120" s="217"/>
      <c r="E120" s="210"/>
      <c r="F120" s="212">
        <f>'VC-Operational Activities'!L49</f>
        <v>10.347618558214318</v>
      </c>
      <c r="G120" s="213">
        <f t="shared" si="4"/>
        <v>0.9406925962013016</v>
      </c>
    </row>
    <row r="121" spans="2:7" ht="15.75">
      <c r="B121" s="209" t="s">
        <v>96</v>
      </c>
      <c r="C121" s="228"/>
      <c r="D121" s="228"/>
      <c r="E121" s="219"/>
      <c r="F121" s="230">
        <f>SUM(F20:F120)*(C10/12)*C9</f>
        <v>34.86024752209078</v>
      </c>
      <c r="G121" s="213">
        <f t="shared" si="4"/>
        <v>3.1691134110991617</v>
      </c>
    </row>
    <row r="122" spans="2:7" ht="15.75">
      <c r="B122" s="209" t="s">
        <v>48</v>
      </c>
      <c r="C122" s="228"/>
      <c r="D122" s="228"/>
      <c r="E122" s="219"/>
      <c r="F122" s="230">
        <f>'VC-Marketing Fees'!L22</f>
        <v>632.5756966733659</v>
      </c>
      <c r="G122" s="213">
        <f t="shared" si="4"/>
        <v>57.50688151576053</v>
      </c>
    </row>
    <row r="123" spans="2:7" ht="15.75">
      <c r="B123" s="231" t="s">
        <v>119</v>
      </c>
      <c r="C123" s="232"/>
      <c r="D123" s="232"/>
      <c r="E123" s="232"/>
      <c r="F123" s="233">
        <f>SUM(F44:F116)</f>
        <v>1834.5</v>
      </c>
      <c r="G123" s="234">
        <f t="shared" si="4"/>
        <v>166.77272727272728</v>
      </c>
    </row>
    <row r="124" spans="2:7" ht="15.75">
      <c r="B124" s="231" t="s">
        <v>120</v>
      </c>
      <c r="C124" s="235"/>
      <c r="D124" s="235"/>
      <c r="E124" s="235"/>
      <c r="F124" s="233">
        <f>SUM(F21:F42)</f>
        <v>134</v>
      </c>
      <c r="G124" s="234">
        <f t="shared" si="4"/>
        <v>12.181818181818182</v>
      </c>
    </row>
    <row r="125" spans="2:7" ht="15.75">
      <c r="B125" s="231" t="s">
        <v>121</v>
      </c>
      <c r="C125" s="232"/>
      <c r="D125" s="232"/>
      <c r="E125" s="232"/>
      <c r="F125" s="233">
        <f>SUM(F118:F122)</f>
        <v>790.5507955209038</v>
      </c>
      <c r="G125" s="234">
        <f t="shared" si="4"/>
        <v>71.86825413826398</v>
      </c>
    </row>
    <row r="126" spans="2:7" ht="16.5" thickBot="1">
      <c r="B126" s="236" t="s">
        <v>122</v>
      </c>
      <c r="C126" s="237"/>
      <c r="D126" s="237"/>
      <c r="E126" s="237"/>
      <c r="F126" s="238">
        <f>SUM(F123,F124,F125)</f>
        <v>2759.0507955209036</v>
      </c>
      <c r="G126" s="239">
        <f>IF($C$8&gt;0,F126/$C$8,0)</f>
        <v>250.82279959280942</v>
      </c>
    </row>
    <row r="127" spans="2:7" ht="15.75">
      <c r="B127" s="191"/>
      <c r="C127" s="177"/>
      <c r="D127" s="177"/>
      <c r="E127" s="169"/>
      <c r="F127" s="169"/>
      <c r="G127" s="240"/>
    </row>
    <row r="128" spans="2:7" ht="16.5" thickBot="1">
      <c r="B128" s="191"/>
      <c r="C128" s="177"/>
      <c r="D128" s="177"/>
      <c r="E128" s="169"/>
      <c r="F128" s="169"/>
      <c r="G128" s="240"/>
    </row>
    <row r="129" spans="2:7" ht="16.5" thickBot="1">
      <c r="B129" s="241" t="s">
        <v>29</v>
      </c>
      <c r="C129" s="242"/>
      <c r="D129" s="242"/>
      <c r="E129" s="243"/>
      <c r="F129" s="243"/>
      <c r="G129" s="244"/>
    </row>
    <row r="130" spans="2:7" ht="15.75">
      <c r="B130" s="245" t="s">
        <v>60</v>
      </c>
      <c r="C130" s="246"/>
      <c r="D130" s="247"/>
      <c r="E130" s="248"/>
      <c r="F130" s="246" t="str">
        <f>"$ per "&amp;$C$5&amp;" "&amp;$D$5</f>
        <v>$ per 0.1 Acre</v>
      </c>
      <c r="G130" s="249" t="s">
        <v>198</v>
      </c>
    </row>
    <row r="131" spans="2:7" ht="15.75">
      <c r="B131" s="250" t="s">
        <v>1</v>
      </c>
      <c r="C131" s="251"/>
      <c r="D131" s="251"/>
      <c r="E131" s="252"/>
      <c r="F131" s="253"/>
      <c r="G131" s="254"/>
    </row>
    <row r="132" spans="2:7" ht="15.75">
      <c r="B132" s="220" t="str">
        <f>'Fixed Costs &amp; Overhead Charges'!B23</f>
        <v>Tractor </v>
      </c>
      <c r="C132" s="255"/>
      <c r="D132" s="217"/>
      <c r="E132" s="256"/>
      <c r="F132" s="212">
        <f>'Fixed Costs &amp; Overhead Charges'!O23</f>
        <v>44.80519480519481</v>
      </c>
      <c r="G132" s="213">
        <f aca="true" t="shared" si="5" ref="G132:G146">IF($C$8&gt;0,F132/$C$8,0)</f>
        <v>4.073199527744983</v>
      </c>
    </row>
    <row r="133" spans="2:7" ht="15.75">
      <c r="B133" s="220" t="str">
        <f>'Fixed Costs &amp; Overhead Charges'!B24</f>
        <v>Rototiller </v>
      </c>
      <c r="C133" s="255"/>
      <c r="D133" s="217"/>
      <c r="E133" s="256"/>
      <c r="F133" s="212">
        <f>'Fixed Costs &amp; Overhead Charges'!O24</f>
        <v>9.523809523809526</v>
      </c>
      <c r="G133" s="213">
        <f t="shared" si="5"/>
        <v>0.8658008658008659</v>
      </c>
    </row>
    <row r="134" spans="2:7" ht="15.75">
      <c r="B134" s="220" t="str">
        <f>'Fixed Costs &amp; Overhead Charges'!B25</f>
        <v>Discer</v>
      </c>
      <c r="C134" s="255"/>
      <c r="D134" s="217"/>
      <c r="E134" s="256"/>
      <c r="F134" s="212">
        <f>'Fixed Costs &amp; Overhead Charges'!O25</f>
        <v>4.545454545454546</v>
      </c>
      <c r="G134" s="213">
        <f t="shared" si="5"/>
        <v>0.4132231404958678</v>
      </c>
    </row>
    <row r="135" spans="2:7" ht="15.75">
      <c r="B135" s="220" t="str">
        <f>'Fixed Costs &amp; Overhead Charges'!B26</f>
        <v>Manure spreader </v>
      </c>
      <c r="C135" s="255"/>
      <c r="D135" s="217"/>
      <c r="E135" s="256"/>
      <c r="F135" s="212">
        <f>'Fixed Costs &amp; Overhead Charges'!O26</f>
        <v>12.987012987012989</v>
      </c>
      <c r="G135" s="213">
        <f t="shared" si="5"/>
        <v>1.180637544273908</v>
      </c>
    </row>
    <row r="136" spans="2:7" ht="15.75">
      <c r="B136" s="220" t="str">
        <f>'Fixed Costs &amp; Overhead Charges'!B27</f>
        <v>Sprayer </v>
      </c>
      <c r="C136" s="255"/>
      <c r="D136" s="217"/>
      <c r="E136" s="256"/>
      <c r="F136" s="212">
        <f>'Fixed Costs &amp; Overhead Charges'!O27</f>
        <v>0</v>
      </c>
      <c r="G136" s="213">
        <f t="shared" si="5"/>
        <v>0</v>
      </c>
    </row>
    <row r="137" spans="2:7" ht="15.75">
      <c r="B137" s="220" t="str">
        <f>'Fixed Costs &amp; Overhead Charges'!B28</f>
        <v>Delivery van</v>
      </c>
      <c r="C137" s="255"/>
      <c r="D137" s="217"/>
      <c r="E137" s="256"/>
      <c r="F137" s="212">
        <f>'Fixed Costs &amp; Overhead Charges'!O28</f>
        <v>57.142857142857146</v>
      </c>
      <c r="G137" s="213">
        <f t="shared" si="5"/>
        <v>5.194805194805195</v>
      </c>
    </row>
    <row r="138" spans="2:7" ht="15.75">
      <c r="B138" s="220" t="str">
        <f>'Fixed Costs &amp; Overhead Charges'!B29</f>
        <v>Pick-up truck</v>
      </c>
      <c r="C138" s="255"/>
      <c r="D138" s="217"/>
      <c r="E138" s="256"/>
      <c r="F138" s="212">
        <f>'Fixed Costs &amp; Overhead Charges'!O29</f>
        <v>19.04761904761905</v>
      </c>
      <c r="G138" s="213">
        <f t="shared" si="5"/>
        <v>1.7316017316017318</v>
      </c>
    </row>
    <row r="139" spans="2:7" ht="15.75">
      <c r="B139" s="220">
        <f>'Fixed Costs &amp; Overhead Charges'!B30</f>
        <v>0</v>
      </c>
      <c r="C139" s="255"/>
      <c r="D139" s="217"/>
      <c r="E139" s="256"/>
      <c r="F139" s="212">
        <f>'Fixed Costs &amp; Overhead Charges'!O30</f>
        <v>0</v>
      </c>
      <c r="G139" s="213">
        <f t="shared" si="5"/>
        <v>0</v>
      </c>
    </row>
    <row r="140" spans="2:7" ht="15.75">
      <c r="B140" s="220">
        <f>'Fixed Costs &amp; Overhead Charges'!B31</f>
        <v>0</v>
      </c>
      <c r="C140" s="255"/>
      <c r="D140" s="217"/>
      <c r="E140" s="256"/>
      <c r="F140" s="212">
        <f>'Fixed Costs &amp; Overhead Charges'!O31</f>
        <v>0</v>
      </c>
      <c r="G140" s="213">
        <f t="shared" si="5"/>
        <v>0</v>
      </c>
    </row>
    <row r="141" spans="2:7" ht="15.75">
      <c r="B141" s="220">
        <f>'Fixed Costs &amp; Overhead Charges'!B32</f>
        <v>0</v>
      </c>
      <c r="C141" s="255"/>
      <c r="D141" s="217"/>
      <c r="E141" s="256"/>
      <c r="F141" s="212">
        <f>'Fixed Costs &amp; Overhead Charges'!O32</f>
        <v>0</v>
      </c>
      <c r="G141" s="213">
        <f t="shared" si="5"/>
        <v>0</v>
      </c>
    </row>
    <row r="142" spans="2:7" ht="15.75">
      <c r="B142" s="220">
        <f>'Fixed Costs &amp; Overhead Charges'!B33</f>
        <v>0</v>
      </c>
      <c r="C142" s="255"/>
      <c r="D142" s="217"/>
      <c r="E142" s="256"/>
      <c r="F142" s="212">
        <f>'Fixed Costs &amp; Overhead Charges'!O33</f>
        <v>0</v>
      </c>
      <c r="G142" s="213">
        <f t="shared" si="5"/>
        <v>0</v>
      </c>
    </row>
    <row r="143" spans="2:7" ht="15.75">
      <c r="B143" s="220">
        <f>'Fixed Costs &amp; Overhead Charges'!B34</f>
        <v>0</v>
      </c>
      <c r="C143" s="255"/>
      <c r="D143" s="217"/>
      <c r="E143" s="256"/>
      <c r="F143" s="212">
        <f>'Fixed Costs &amp; Overhead Charges'!O34</f>
        <v>0</v>
      </c>
      <c r="G143" s="213">
        <f t="shared" si="5"/>
        <v>0</v>
      </c>
    </row>
    <row r="144" spans="2:7" ht="15.75">
      <c r="B144" s="209" t="s">
        <v>124</v>
      </c>
      <c r="C144" s="217"/>
      <c r="D144" s="217"/>
      <c r="E144" s="256"/>
      <c r="F144" s="212">
        <f>'Fixed Costs &amp; Overhead Charges'!O56</f>
        <v>25</v>
      </c>
      <c r="G144" s="213">
        <f t="shared" si="5"/>
        <v>2.272727272727273</v>
      </c>
    </row>
    <row r="145" spans="2:7" ht="15.75">
      <c r="B145" s="209" t="s">
        <v>30</v>
      </c>
      <c r="C145" s="217"/>
      <c r="D145" s="217"/>
      <c r="E145" s="256"/>
      <c r="F145" s="212">
        <f>'Fixed Costs &amp; Overhead Charges'!O68</f>
        <v>130.8974358974359</v>
      </c>
      <c r="G145" s="213">
        <f t="shared" si="5"/>
        <v>11.8997668997669</v>
      </c>
    </row>
    <row r="146" spans="2:7" ht="15.75">
      <c r="B146" s="223" t="s">
        <v>125</v>
      </c>
      <c r="C146" s="217"/>
      <c r="D146" s="217"/>
      <c r="E146" s="256"/>
      <c r="F146" s="212">
        <f>'Fixed Costs &amp; Overhead Charges'!O79</f>
        <v>170.51282051282053</v>
      </c>
      <c r="G146" s="213">
        <f t="shared" si="5"/>
        <v>15.501165501165502</v>
      </c>
    </row>
    <row r="147" spans="2:7" ht="15.75">
      <c r="B147" s="223" t="s">
        <v>230</v>
      </c>
      <c r="C147" s="217"/>
      <c r="D147" s="217"/>
      <c r="E147" s="256"/>
      <c r="F147" s="212"/>
      <c r="G147" s="213"/>
    </row>
    <row r="148" spans="2:7" ht="15.75">
      <c r="B148" s="227" t="str">
        <f>'Fixed Costs &amp; Overhead Charges'!B83</f>
        <v>Land rent</v>
      </c>
      <c r="C148" s="217"/>
      <c r="D148" s="217"/>
      <c r="E148" s="256"/>
      <c r="F148" s="212">
        <f>'Fixed Costs &amp; Overhead Charges'!O83</f>
        <v>42</v>
      </c>
      <c r="G148" s="213">
        <f aca="true" t="shared" si="6" ref="G148:G160">IF($C$8&gt;0,F148/$C$8,0)</f>
        <v>3.8181818181818183</v>
      </c>
    </row>
    <row r="149" spans="2:7" ht="15.75">
      <c r="B149" s="227" t="str">
        <f>'Fixed Costs &amp; Overhead Charges'!B84</f>
        <v>Soil test</v>
      </c>
      <c r="C149" s="217"/>
      <c r="D149" s="217"/>
      <c r="E149" s="256"/>
      <c r="F149" s="212">
        <f>'Fixed Costs &amp; Overhead Charges'!O84</f>
        <v>2.7272727272727275</v>
      </c>
      <c r="G149" s="213">
        <f t="shared" si="6"/>
        <v>0.2479338842975207</v>
      </c>
    </row>
    <row r="150" spans="2:7" ht="15.75">
      <c r="B150" s="227" t="str">
        <f>'Fixed Costs &amp; Overhead Charges'!B85</f>
        <v>Farm liability insurance</v>
      </c>
      <c r="C150" s="217"/>
      <c r="D150" s="217"/>
      <c r="E150" s="256"/>
      <c r="F150" s="212">
        <f>'Fixed Costs &amp; Overhead Charges'!O85</f>
        <v>16.363636363636363</v>
      </c>
      <c r="G150" s="213">
        <f t="shared" si="6"/>
        <v>1.487603305785124</v>
      </c>
    </row>
    <row r="151" spans="2:7" ht="15.75">
      <c r="B151" s="227" t="str">
        <f>'Fixed Costs &amp; Overhead Charges'!B86</f>
        <v>Motor vehicle insurance</v>
      </c>
      <c r="C151" s="217"/>
      <c r="D151" s="217"/>
      <c r="E151" s="256"/>
      <c r="F151" s="212">
        <f>'Fixed Costs &amp; Overhead Charges'!O86</f>
        <v>55.909090909090914</v>
      </c>
      <c r="G151" s="213">
        <f t="shared" si="6"/>
        <v>5.082644628099174</v>
      </c>
    </row>
    <row r="152" spans="2:7" ht="15.75">
      <c r="B152" s="227" t="str">
        <f>'Fixed Costs &amp; Overhead Charges'!B87</f>
        <v>Office expenses</v>
      </c>
      <c r="C152" s="217"/>
      <c r="D152" s="217"/>
      <c r="E152" s="256"/>
      <c r="F152" s="212">
        <f>'Fixed Costs &amp; Overhead Charges'!O87</f>
        <v>27.272727272727273</v>
      </c>
      <c r="G152" s="213">
        <f t="shared" si="6"/>
        <v>2.479338842975207</v>
      </c>
    </row>
    <row r="153" spans="2:7" ht="15.75">
      <c r="B153" s="227" t="str">
        <f>'Fixed Costs &amp; Overhead Charges'!B88</f>
        <v>Electricity</v>
      </c>
      <c r="C153" s="217"/>
      <c r="D153" s="217"/>
      <c r="E153" s="256"/>
      <c r="F153" s="212">
        <f>'Fixed Costs &amp; Overhead Charges'!O88</f>
        <v>19.090909090909093</v>
      </c>
      <c r="G153" s="213">
        <f t="shared" si="6"/>
        <v>1.7355371900826448</v>
      </c>
    </row>
    <row r="154" spans="2:7" ht="15.75">
      <c r="B154" s="227" t="str">
        <f>'Fixed Costs &amp; Overhead Charges'!B89</f>
        <v>Water</v>
      </c>
      <c r="C154" s="217"/>
      <c r="D154" s="217"/>
      <c r="E154" s="256"/>
      <c r="F154" s="212">
        <f>'Fixed Costs &amp; Overhead Charges'!O89</f>
        <v>27.272727272727273</v>
      </c>
      <c r="G154" s="213">
        <f t="shared" si="6"/>
        <v>2.479338842975207</v>
      </c>
    </row>
    <row r="155" spans="2:7" ht="15.75">
      <c r="B155" s="227" t="str">
        <f>'Fixed Costs &amp; Overhead Charges'!B90</f>
        <v>Telephone and internet</v>
      </c>
      <c r="C155" s="217"/>
      <c r="D155" s="217"/>
      <c r="E155" s="256"/>
      <c r="F155" s="212">
        <f>'Fixed Costs &amp; Overhead Charges'!O90</f>
        <v>13.636363636363637</v>
      </c>
      <c r="G155" s="213">
        <f t="shared" si="6"/>
        <v>1.2396694214876034</v>
      </c>
    </row>
    <row r="156" spans="2:7" ht="15.75">
      <c r="B156" s="227" t="str">
        <f>'Fixed Costs &amp; Overhead Charges'!B91</f>
        <v>Bookkeeping fees</v>
      </c>
      <c r="C156" s="217"/>
      <c r="D156" s="217"/>
      <c r="E156" s="256"/>
      <c r="F156" s="212">
        <f>'Fixed Costs &amp; Overhead Charges'!O91</f>
        <v>163.63636363636365</v>
      </c>
      <c r="G156" s="213">
        <f t="shared" si="6"/>
        <v>14.876033057851242</v>
      </c>
    </row>
    <row r="157" spans="2:7" ht="15.75">
      <c r="B157" s="227" t="str">
        <f>'Fixed Costs &amp; Overhead Charges'!B92</f>
        <v>Professional fees (accountant, lawyers, etc)</v>
      </c>
      <c r="C157" s="257"/>
      <c r="D157" s="257"/>
      <c r="E157" s="257"/>
      <c r="F157" s="212">
        <f>'Fixed Costs &amp; Overhead Charges'!O92</f>
        <v>19.090909090909093</v>
      </c>
      <c r="G157" s="213">
        <f>IF($C$8&gt;0,F157/$C$8,0)</f>
        <v>1.7355371900826448</v>
      </c>
    </row>
    <row r="158" spans="2:7" ht="15.75">
      <c r="B158" s="227">
        <f>'Fixed Costs &amp; Overhead Charges'!B93</f>
        <v>0</v>
      </c>
      <c r="C158" s="257"/>
      <c r="D158" s="257"/>
      <c r="E158" s="257"/>
      <c r="F158" s="212">
        <f>'Fixed Costs &amp; Overhead Charges'!O93</f>
        <v>0</v>
      </c>
      <c r="G158" s="213">
        <f t="shared" si="6"/>
        <v>0</v>
      </c>
    </row>
    <row r="159" spans="2:7" ht="16.5" thickBot="1">
      <c r="B159" s="258" t="s">
        <v>31</v>
      </c>
      <c r="C159" s="259"/>
      <c r="D159" s="259"/>
      <c r="E159" s="259"/>
      <c r="F159" s="260">
        <f>SUM(F132:F158)</f>
        <v>861.4622044622045</v>
      </c>
      <c r="G159" s="261">
        <f t="shared" si="6"/>
        <v>78.3147458602004</v>
      </c>
    </row>
    <row r="160" spans="2:7" ht="16.5" thickBot="1">
      <c r="B160" s="262" t="s">
        <v>245</v>
      </c>
      <c r="C160" s="263"/>
      <c r="D160" s="263"/>
      <c r="E160" s="263"/>
      <c r="F160" s="264">
        <f>SUM(F126,F159)</f>
        <v>3620.512999983108</v>
      </c>
      <c r="G160" s="265">
        <f t="shared" si="6"/>
        <v>329.1375454530098</v>
      </c>
    </row>
    <row r="161" spans="2:7" ht="15.75">
      <c r="B161" s="266"/>
      <c r="C161" s="267"/>
      <c r="D161" s="267"/>
      <c r="E161" s="268"/>
      <c r="F161" s="268"/>
      <c r="G161" s="268"/>
    </row>
    <row r="162" spans="2:7" ht="15.75">
      <c r="B162" s="266"/>
      <c r="C162" s="267"/>
      <c r="D162" s="267"/>
      <c r="E162" s="268"/>
      <c r="F162" s="268"/>
      <c r="G162" s="268"/>
    </row>
    <row r="163" spans="2:7" ht="16.5" thickBot="1">
      <c r="B163" s="266"/>
      <c r="C163" s="267"/>
      <c r="D163" s="267"/>
      <c r="E163" s="268"/>
      <c r="F163" s="268"/>
      <c r="G163" s="268"/>
    </row>
    <row r="164" spans="2:7" ht="16.5" thickBot="1">
      <c r="B164" s="196" t="s">
        <v>54</v>
      </c>
      <c r="C164" s="269"/>
      <c r="D164" s="269"/>
      <c r="E164" s="270"/>
      <c r="F164" s="270"/>
      <c r="G164" s="271"/>
    </row>
    <row r="165" spans="2:7" ht="16.5" thickBot="1">
      <c r="B165" s="272" t="s">
        <v>54</v>
      </c>
      <c r="C165" s="273"/>
      <c r="D165" s="274"/>
      <c r="E165" s="274"/>
      <c r="F165" s="275" t="str">
        <f>"$ per "&amp;$C$5&amp;" "&amp;$D$5</f>
        <v>$ per 0.1 Acre</v>
      </c>
      <c r="G165" s="276" t="s">
        <v>198</v>
      </c>
    </row>
    <row r="166" spans="2:7" ht="16.5" thickBot="1">
      <c r="B166" s="277" t="s">
        <v>210</v>
      </c>
      <c r="C166" s="278"/>
      <c r="D166" s="279"/>
      <c r="E166" s="278"/>
      <c r="F166" s="280">
        <f>F15-F126</f>
        <v>4440.949204479097</v>
      </c>
      <c r="G166" s="281">
        <f>G15-G126</f>
        <v>403.7226549526451</v>
      </c>
    </row>
    <row r="167" spans="2:7" ht="17.25" thickBot="1" thickTop="1">
      <c r="B167" s="282" t="s">
        <v>209</v>
      </c>
      <c r="C167" s="278"/>
      <c r="D167" s="278"/>
      <c r="E167" s="278"/>
      <c r="F167" s="280">
        <f>F15-F159</f>
        <v>6338.537795537795</v>
      </c>
      <c r="G167" s="281">
        <f>G15-G159</f>
        <v>576.2307086852541</v>
      </c>
    </row>
    <row r="168" spans="2:7" ht="17.25" thickBot="1" thickTop="1">
      <c r="B168" s="283" t="s">
        <v>246</v>
      </c>
      <c r="C168" s="284"/>
      <c r="D168" s="284"/>
      <c r="E168" s="284"/>
      <c r="F168" s="285">
        <f>F15-F160</f>
        <v>3579.487000016892</v>
      </c>
      <c r="G168" s="286">
        <f>G15-G160</f>
        <v>325.4079090924447</v>
      </c>
    </row>
    <row r="169" spans="2:7" ht="15.75">
      <c r="B169" s="266"/>
      <c r="C169" s="266"/>
      <c r="D169" s="287"/>
      <c r="E169" s="268"/>
      <c r="F169" s="268"/>
      <c r="G169" s="268"/>
    </row>
    <row r="170" spans="2:7" ht="16.5" thickBot="1">
      <c r="B170" s="266"/>
      <c r="C170" s="266"/>
      <c r="D170" s="287"/>
      <c r="E170" s="268"/>
      <c r="F170" s="268"/>
      <c r="G170" s="268"/>
    </row>
    <row r="171" spans="2:7" ht="16.5" thickBot="1">
      <c r="B171" s="272" t="s">
        <v>189</v>
      </c>
      <c r="C171" s="288"/>
      <c r="D171" s="289"/>
      <c r="E171" s="290"/>
      <c r="F171" s="290"/>
      <c r="G171" s="271"/>
    </row>
    <row r="172" spans="2:7" ht="15.75">
      <c r="B172" s="291" t="s">
        <v>60</v>
      </c>
      <c r="C172" s="292" t="str">
        <f>'Fixed Costs &amp; Overhead Charges'!C21</f>
        <v>Type</v>
      </c>
      <c r="D172" s="292" t="str">
        <f>'Fixed Costs &amp; Overhead Charges'!D21</f>
        <v>Purchase Price ($)</v>
      </c>
      <c r="E172" s="292" t="str">
        <f>'Fixed Costs &amp; Overhead Charges'!E21</f>
        <v>Trade-in Value ($)</v>
      </c>
      <c r="F172" s="292" t="str">
        <f>'Fixed Costs &amp; Overhead Charges'!F21</f>
        <v>Useful  Life (Years)</v>
      </c>
      <c r="G172" s="293"/>
    </row>
    <row r="173" spans="2:7" ht="15.75">
      <c r="B173" s="209" t="str">
        <f>'Fixed Costs &amp; Overhead Charges'!B23</f>
        <v>Tractor </v>
      </c>
      <c r="C173" s="294" t="str">
        <f>'Fixed Costs &amp; Overhead Charges'!C23</f>
        <v>25 HP (new)</v>
      </c>
      <c r="D173" s="212">
        <f>'Fixed Costs &amp; Overhead Charges'!D23</f>
        <v>23000</v>
      </c>
      <c r="E173" s="210">
        <f>'Fixed Costs &amp; Overhead Charges'!E23</f>
        <v>0</v>
      </c>
      <c r="F173" s="211">
        <f>'Fixed Costs &amp; Overhead Charges'!F23</f>
        <v>20</v>
      </c>
      <c r="G173" s="295"/>
    </row>
    <row r="174" spans="2:7" ht="15.75">
      <c r="B174" s="209" t="str">
        <f>'Fixed Costs &amp; Overhead Charges'!B24</f>
        <v>Rototiller </v>
      </c>
      <c r="C174" s="294" t="str">
        <f>'Fixed Costs &amp; Overhead Charges'!C24</f>
        <v>48'' (new)</v>
      </c>
      <c r="D174" s="212">
        <f>'Fixed Costs &amp; Overhead Charges'!D24</f>
        <v>4000</v>
      </c>
      <c r="E174" s="210">
        <f>'Fixed Costs &amp; Overhead Charges'!E24</f>
        <v>0</v>
      </c>
      <c r="F174" s="211">
        <f>'Fixed Costs &amp; Overhead Charges'!F24</f>
        <v>15</v>
      </c>
      <c r="G174" s="295"/>
    </row>
    <row r="175" spans="2:7" ht="15.75">
      <c r="B175" s="209" t="str">
        <f>'Fixed Costs &amp; Overhead Charges'!B25</f>
        <v>Discer</v>
      </c>
      <c r="C175" s="294" t="str">
        <f>'Fixed Costs &amp; Overhead Charges'!C25</f>
        <v>used</v>
      </c>
      <c r="D175" s="212">
        <f>'Fixed Costs &amp; Overhead Charges'!D25</f>
        <v>3000</v>
      </c>
      <c r="E175" s="210">
        <f>'Fixed Costs &amp; Overhead Charges'!E25</f>
        <v>0</v>
      </c>
      <c r="F175" s="211">
        <f>'Fixed Costs &amp; Overhead Charges'!F25</f>
        <v>30</v>
      </c>
      <c r="G175" s="295"/>
    </row>
    <row r="176" spans="2:7" ht="15.75">
      <c r="B176" s="209" t="str">
        <f>'Fixed Costs &amp; Overhead Charges'!B26</f>
        <v>Manure spreader </v>
      </c>
      <c r="C176" s="294" t="str">
        <f>'Fixed Costs &amp; Overhead Charges'!C26</f>
        <v>used</v>
      </c>
      <c r="D176" s="212">
        <f>'Fixed Costs &amp; Overhead Charges'!D26</f>
        <v>4000</v>
      </c>
      <c r="E176" s="210">
        <f>'Fixed Costs &amp; Overhead Charges'!E26</f>
        <v>0</v>
      </c>
      <c r="F176" s="211">
        <f>'Fixed Costs &amp; Overhead Charges'!F26</f>
        <v>10</v>
      </c>
      <c r="G176" s="295"/>
    </row>
    <row r="177" spans="2:7" ht="15.75">
      <c r="B177" s="209" t="str">
        <f>'Fixed Costs &amp; Overhead Charges'!B27</f>
        <v>Sprayer </v>
      </c>
      <c r="C177" s="294" t="str">
        <f>'Fixed Costs &amp; Overhead Charges'!C27</f>
        <v>used</v>
      </c>
      <c r="D177" s="212">
        <f>'Fixed Costs &amp; Overhead Charges'!D27</f>
        <v>5000</v>
      </c>
      <c r="E177" s="210">
        <f>'Fixed Costs &amp; Overhead Charges'!E27</f>
        <v>0</v>
      </c>
      <c r="F177" s="211">
        <f>'Fixed Costs &amp; Overhead Charges'!F27</f>
        <v>10</v>
      </c>
      <c r="G177" s="295"/>
    </row>
    <row r="178" spans="2:7" ht="15.75">
      <c r="B178" s="209" t="str">
        <f>'Fixed Costs &amp; Overhead Charges'!B28</f>
        <v>Delivery van</v>
      </c>
      <c r="C178" s="294" t="str">
        <f>'Fixed Costs &amp; Overhead Charges'!C28</f>
        <v>Isuzu 2002 (used)</v>
      </c>
      <c r="D178" s="212">
        <f>'Fixed Costs &amp; Overhead Charges'!D28</f>
        <v>24000</v>
      </c>
      <c r="E178" s="210">
        <f>'Fixed Costs &amp; Overhead Charges'!E28</f>
        <v>0</v>
      </c>
      <c r="F178" s="211">
        <f>'Fixed Costs &amp; Overhead Charges'!F28</f>
        <v>15</v>
      </c>
      <c r="G178" s="295"/>
    </row>
    <row r="179" spans="2:7" ht="15.75">
      <c r="B179" s="209" t="str">
        <f>'Fixed Costs &amp; Overhead Charges'!B29</f>
        <v>Pick-up truck</v>
      </c>
      <c r="C179" s="294" t="str">
        <f>'Fixed Costs &amp; Overhead Charges'!C29</f>
        <v>used</v>
      </c>
      <c r="D179" s="212">
        <f>'Fixed Costs &amp; Overhead Charges'!D29</f>
        <v>8000</v>
      </c>
      <c r="E179" s="210">
        <f>'Fixed Costs &amp; Overhead Charges'!E29</f>
        <v>0</v>
      </c>
      <c r="F179" s="211">
        <f>'Fixed Costs &amp; Overhead Charges'!F29</f>
        <v>15</v>
      </c>
      <c r="G179" s="295"/>
    </row>
    <row r="180" spans="2:7" ht="15.75">
      <c r="B180" s="209">
        <f>'Fixed Costs &amp; Overhead Charges'!B30</f>
        <v>0</v>
      </c>
      <c r="C180" s="294">
        <f>'Fixed Costs &amp; Overhead Charges'!C30</f>
        <v>0</v>
      </c>
      <c r="D180" s="212">
        <f>'Fixed Costs &amp; Overhead Charges'!D30</f>
        <v>0</v>
      </c>
      <c r="E180" s="210">
        <f>'Fixed Costs &amp; Overhead Charges'!E30</f>
        <v>0</v>
      </c>
      <c r="F180" s="211">
        <f>'Fixed Costs &amp; Overhead Charges'!F30</f>
        <v>0</v>
      </c>
      <c r="G180" s="295"/>
    </row>
    <row r="181" spans="2:7" ht="15.75">
      <c r="B181" s="209">
        <f>'Fixed Costs &amp; Overhead Charges'!B31</f>
        <v>0</v>
      </c>
      <c r="C181" s="294">
        <f>'Fixed Costs &amp; Overhead Charges'!C31</f>
        <v>0</v>
      </c>
      <c r="D181" s="212">
        <f>'Fixed Costs &amp; Overhead Charges'!D31</f>
        <v>0</v>
      </c>
      <c r="E181" s="210">
        <f>'Fixed Costs &amp; Overhead Charges'!E31</f>
        <v>0</v>
      </c>
      <c r="F181" s="211">
        <f>'Fixed Costs &amp; Overhead Charges'!F31</f>
        <v>0</v>
      </c>
      <c r="G181" s="295"/>
    </row>
    <row r="182" spans="2:7" ht="15.75">
      <c r="B182" s="209">
        <f>'Fixed Costs &amp; Overhead Charges'!B32</f>
        <v>0</v>
      </c>
      <c r="C182" s="294">
        <f>'Fixed Costs &amp; Overhead Charges'!C32</f>
        <v>0</v>
      </c>
      <c r="D182" s="212">
        <f>'Fixed Costs &amp; Overhead Charges'!D32</f>
        <v>0</v>
      </c>
      <c r="E182" s="210">
        <f>'Fixed Costs &amp; Overhead Charges'!E32</f>
        <v>0</v>
      </c>
      <c r="F182" s="211">
        <f>'Fixed Costs &amp; Overhead Charges'!F32</f>
        <v>0</v>
      </c>
      <c r="G182" s="295"/>
    </row>
    <row r="183" spans="2:7" ht="15.75">
      <c r="B183" s="209">
        <f>'Fixed Costs &amp; Overhead Charges'!B33</f>
        <v>0</v>
      </c>
      <c r="C183" s="294">
        <f>'Fixed Costs &amp; Overhead Charges'!C33</f>
        <v>0</v>
      </c>
      <c r="D183" s="212">
        <f>'Fixed Costs &amp; Overhead Charges'!D33</f>
        <v>0</v>
      </c>
      <c r="E183" s="210">
        <f>'Fixed Costs &amp; Overhead Charges'!E33</f>
        <v>0</v>
      </c>
      <c r="F183" s="211">
        <f>'Fixed Costs &amp; Overhead Charges'!F33</f>
        <v>0</v>
      </c>
      <c r="G183" s="295"/>
    </row>
    <row r="184" spans="2:7" ht="16.5" thickBot="1">
      <c r="B184" s="296">
        <f>'Fixed Costs &amp; Overhead Charges'!B34</f>
        <v>0</v>
      </c>
      <c r="C184" s="297">
        <f>'Fixed Costs &amp; Overhead Charges'!C34</f>
        <v>0</v>
      </c>
      <c r="D184" s="298">
        <f>'Fixed Costs &amp; Overhead Charges'!D34</f>
        <v>0</v>
      </c>
      <c r="E184" s="299">
        <f>'Fixed Costs &amp; Overhead Charges'!E34</f>
        <v>0</v>
      </c>
      <c r="F184" s="300">
        <f>'Fixed Costs &amp; Overhead Charges'!F34</f>
        <v>0</v>
      </c>
      <c r="G184" s="301"/>
    </row>
  </sheetData>
  <sheetProtection password="EB59" sheet="1" objects="1" scenarios="1"/>
  <mergeCells count="2">
    <mergeCell ref="B2:G2"/>
    <mergeCell ref="B3:G3"/>
  </mergeCells>
  <conditionalFormatting sqref="F166:F168">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6: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tabColor rgb="FFFFFF00"/>
  </sheetPr>
  <dimension ref="B2:IV101"/>
  <sheetViews>
    <sheetView zoomScale="85" zoomScaleNormal="85" zoomScalePageLayoutView="0" workbookViewId="0" topLeftCell="A35">
      <selection activeCell="D62" sqref="D62"/>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6" bestFit="1" customWidth="1"/>
    <col min="16" max="16" width="16.140625" style="3" bestFit="1" customWidth="1"/>
    <col min="17" max="16384" width="9.140625" style="3" customWidth="1"/>
  </cols>
  <sheetData>
    <row r="1" ht="15.75" thickBot="1"/>
    <row r="2" spans="2:15" ht="19.5" thickBot="1">
      <c r="B2" s="476" t="str">
        <f>$C$5&amp;" Enterprise Budget, "&amp;$C$8&amp;" "&amp;$D$8&amp;", Southwest British Columbia, Canada "</f>
        <v>Kale Enterprise Budget, 0.1 Acre, Southwest British Columbia, Canada </v>
      </c>
      <c r="C2" s="477"/>
      <c r="D2" s="477"/>
      <c r="E2" s="477"/>
      <c r="F2" s="477"/>
      <c r="G2" s="477"/>
      <c r="H2" s="477"/>
      <c r="I2" s="477"/>
      <c r="J2" s="477"/>
      <c r="K2" s="477"/>
      <c r="L2" s="477"/>
      <c r="M2" s="477"/>
      <c r="N2" s="477"/>
      <c r="O2" s="478"/>
    </row>
    <row r="3" spans="2:15" s="5" customFormat="1" ht="19.5" thickBot="1">
      <c r="B3" s="476" t="s">
        <v>127</v>
      </c>
      <c r="C3" s="477"/>
      <c r="D3" s="477"/>
      <c r="E3" s="477"/>
      <c r="F3" s="477"/>
      <c r="G3" s="477"/>
      <c r="H3" s="477"/>
      <c r="I3" s="477"/>
      <c r="J3" s="477"/>
      <c r="K3" s="477"/>
      <c r="L3" s="477"/>
      <c r="M3" s="477"/>
      <c r="N3" s="477"/>
      <c r="O3" s="478"/>
    </row>
    <row r="4" spans="2:15" s="6" customFormat="1" ht="15.75" thickBot="1">
      <c r="B4" s="11"/>
      <c r="C4" s="11"/>
      <c r="D4" s="11"/>
      <c r="E4" s="11"/>
      <c r="F4" s="11"/>
      <c r="G4" s="11"/>
      <c r="H4" s="11"/>
      <c r="I4" s="11"/>
      <c r="J4" s="11"/>
      <c r="K4" s="11"/>
      <c r="L4" s="11"/>
      <c r="M4" s="11"/>
      <c r="N4" s="11"/>
      <c r="O4" s="11"/>
    </row>
    <row r="5" spans="2:15" s="5" customFormat="1" ht="15">
      <c r="B5" s="321" t="s">
        <v>57</v>
      </c>
      <c r="C5" s="87" t="s">
        <v>241</v>
      </c>
      <c r="D5" s="326"/>
      <c r="E5" s="11"/>
      <c r="F5" s="11"/>
      <c r="G5" s="11"/>
      <c r="H5" s="11"/>
      <c r="I5" s="11"/>
      <c r="J5" s="11"/>
      <c r="K5" s="11"/>
      <c r="L5" s="11"/>
      <c r="M5" s="11"/>
      <c r="N5" s="11"/>
      <c r="O5" s="11"/>
    </row>
    <row r="6" spans="2:15" s="5" customFormat="1" ht="15">
      <c r="B6" s="322" t="s">
        <v>156</v>
      </c>
      <c r="C6" s="88">
        <v>3.85</v>
      </c>
      <c r="D6" s="327" t="s">
        <v>193</v>
      </c>
      <c r="E6" s="11"/>
      <c r="F6" s="11"/>
      <c r="G6" s="11"/>
      <c r="H6" s="11"/>
      <c r="I6" s="11"/>
      <c r="J6" s="11"/>
      <c r="K6" s="11"/>
      <c r="L6" s="11"/>
      <c r="M6" s="11"/>
      <c r="N6" s="11"/>
      <c r="O6" s="11"/>
    </row>
    <row r="7" spans="2:15" s="5" customFormat="1" ht="15">
      <c r="B7" s="322" t="s">
        <v>232</v>
      </c>
      <c r="C7" s="88">
        <v>0.65</v>
      </c>
      <c r="D7" s="327" t="s">
        <v>192</v>
      </c>
      <c r="E7" s="11"/>
      <c r="F7" s="11"/>
      <c r="G7" s="11"/>
      <c r="H7" s="11"/>
      <c r="I7" s="11"/>
      <c r="J7" s="11"/>
      <c r="K7" s="11"/>
      <c r="L7" s="11"/>
      <c r="M7" s="11"/>
      <c r="N7" s="11"/>
      <c r="O7" s="11"/>
    </row>
    <row r="8" spans="2:15" s="5" customFormat="1" ht="15">
      <c r="B8" s="322" t="str">
        <f>(C5)&amp;" cultivated area"</f>
        <v>Kale cultivated area</v>
      </c>
      <c r="C8" s="88">
        <v>0.1</v>
      </c>
      <c r="D8" s="327" t="s">
        <v>192</v>
      </c>
      <c r="E8" s="11"/>
      <c r="F8" s="11"/>
      <c r="G8" s="11"/>
      <c r="H8" s="11"/>
      <c r="I8" s="11"/>
      <c r="J8" s="11"/>
      <c r="K8" s="11"/>
      <c r="L8" s="11"/>
      <c r="M8" s="11"/>
      <c r="N8" s="11"/>
      <c r="O8" s="11"/>
    </row>
    <row r="9" spans="2:15" s="5" customFormat="1" ht="15">
      <c r="B9" s="322" t="s">
        <v>155</v>
      </c>
      <c r="C9" s="151">
        <f>ROUND(C8*43560,0)</f>
        <v>4356</v>
      </c>
      <c r="D9" s="327" t="s">
        <v>194</v>
      </c>
      <c r="E9" s="11"/>
      <c r="F9" s="11"/>
      <c r="G9" s="11"/>
      <c r="H9" s="11"/>
      <c r="I9" s="11"/>
      <c r="J9" s="11"/>
      <c r="K9" s="11"/>
      <c r="L9" s="11"/>
      <c r="M9" s="11"/>
      <c r="N9" s="11"/>
      <c r="O9" s="11"/>
    </row>
    <row r="10" spans="2:15" s="5" customFormat="1" ht="15">
      <c r="B10" s="322" t="s">
        <v>87</v>
      </c>
      <c r="C10" s="89">
        <v>400</v>
      </c>
      <c r="D10" s="327" t="s">
        <v>194</v>
      </c>
      <c r="E10" s="11"/>
      <c r="F10" s="11"/>
      <c r="G10" s="11"/>
      <c r="H10" s="11"/>
      <c r="I10" s="11"/>
      <c r="J10" s="11"/>
      <c r="K10" s="11"/>
      <c r="L10" s="11"/>
      <c r="M10" s="11"/>
      <c r="N10" s="11"/>
      <c r="O10" s="11"/>
    </row>
    <row r="11" spans="2:15" s="5" customFormat="1" ht="15">
      <c r="B11" s="322" t="s">
        <v>86</v>
      </c>
      <c r="C11" s="325">
        <f>ROUND(C9/C10,0)</f>
        <v>11</v>
      </c>
      <c r="D11" s="327" t="s">
        <v>195</v>
      </c>
      <c r="E11" s="11"/>
      <c r="F11" s="11"/>
      <c r="G11" s="11"/>
      <c r="H11" s="11"/>
      <c r="I11" s="11"/>
      <c r="J11" s="11"/>
      <c r="K11" s="11"/>
      <c r="L11" s="11"/>
      <c r="M11" s="11"/>
      <c r="N11" s="11"/>
      <c r="O11" s="11"/>
    </row>
    <row r="12" spans="2:15" s="5" customFormat="1" ht="15">
      <c r="B12" s="323" t="s">
        <v>72</v>
      </c>
      <c r="C12" s="90">
        <v>0.05</v>
      </c>
      <c r="D12" s="327"/>
      <c r="E12" s="11"/>
      <c r="F12" s="11"/>
      <c r="G12" s="11"/>
      <c r="H12" s="11"/>
      <c r="I12" s="11"/>
      <c r="J12" s="11"/>
      <c r="K12" s="11"/>
      <c r="L12" s="11"/>
      <c r="M12" s="11"/>
      <c r="N12" s="11"/>
      <c r="O12" s="11"/>
    </row>
    <row r="13" spans="2:15" s="5" customFormat="1" ht="15.75" thickBot="1">
      <c r="B13" s="324" t="s">
        <v>208</v>
      </c>
      <c r="C13" s="91">
        <v>4</v>
      </c>
      <c r="D13" s="328" t="s">
        <v>196</v>
      </c>
      <c r="E13" s="11"/>
      <c r="F13" s="11"/>
      <c r="G13" s="11"/>
      <c r="H13" s="11"/>
      <c r="I13" s="11"/>
      <c r="J13" s="11"/>
      <c r="K13" s="11"/>
      <c r="L13" s="11"/>
      <c r="M13" s="11"/>
      <c r="N13" s="11"/>
      <c r="O13" s="11"/>
    </row>
    <row r="14" spans="2:15" s="5" customFormat="1" ht="15">
      <c r="B14" s="8"/>
      <c r="C14" s="125"/>
      <c r="D14" s="11"/>
      <c r="E14" s="11"/>
      <c r="F14" s="11"/>
      <c r="G14" s="11"/>
      <c r="H14" s="11"/>
      <c r="I14" s="11"/>
      <c r="J14" s="11"/>
      <c r="K14" s="11"/>
      <c r="L14" s="11"/>
      <c r="M14" s="11"/>
      <c r="N14" s="11"/>
      <c r="O14" s="11"/>
    </row>
    <row r="15" spans="2:15" s="5" customFormat="1" ht="15" hidden="1">
      <c r="B15" s="103" t="s">
        <v>250</v>
      </c>
      <c r="C15" s="125"/>
      <c r="D15" s="11"/>
      <c r="E15" s="11"/>
      <c r="F15" s="11"/>
      <c r="G15" s="11"/>
      <c r="H15" s="11"/>
      <c r="I15" s="11"/>
      <c r="J15" s="11"/>
      <c r="K15" s="11"/>
      <c r="L15" s="11"/>
      <c r="M15" s="11"/>
      <c r="N15" s="11"/>
      <c r="O15" s="11"/>
    </row>
    <row r="16" spans="2:15" s="5" customFormat="1" ht="15" hidden="1">
      <c r="B16" s="103" t="str">
        <f>"used in "&amp;B6</f>
        <v>used in Total cultivated area</v>
      </c>
      <c r="C16" s="125"/>
      <c r="D16" s="11"/>
      <c r="E16" s="11"/>
      <c r="F16" s="11"/>
      <c r="G16" s="11"/>
      <c r="H16" s="11"/>
      <c r="I16" s="11"/>
      <c r="J16" s="11"/>
      <c r="K16" s="11"/>
      <c r="L16" s="11"/>
      <c r="M16" s="11"/>
      <c r="N16" s="11"/>
      <c r="O16" s="11"/>
    </row>
    <row r="17" spans="2:15" s="5" customFormat="1" ht="15" hidden="1">
      <c r="B17" s="103" t="str">
        <f>"used only in "&amp;B7</f>
        <v>used only in Brassica crops area</v>
      </c>
      <c r="C17" s="125"/>
      <c r="D17" s="11"/>
      <c r="E17" s="11"/>
      <c r="F17" s="11"/>
      <c r="G17" s="11"/>
      <c r="H17" s="11"/>
      <c r="I17" s="11"/>
      <c r="J17" s="11"/>
      <c r="K17" s="11"/>
      <c r="L17" s="11"/>
      <c r="M17" s="11"/>
      <c r="N17" s="11"/>
      <c r="O17" s="11"/>
    </row>
    <row r="18" spans="2:15" s="5" customFormat="1" ht="15" hidden="1">
      <c r="B18" s="103" t="str">
        <f>"used only in "&amp;B8</f>
        <v>used only in Kale cultivated area</v>
      </c>
      <c r="C18" s="125"/>
      <c r="D18" s="11"/>
      <c r="E18" s="11"/>
      <c r="F18" s="11"/>
      <c r="G18" s="11"/>
      <c r="H18" s="11"/>
      <c r="I18" s="11"/>
      <c r="J18" s="11"/>
      <c r="K18" s="11"/>
      <c r="L18" s="11"/>
      <c r="M18" s="11"/>
      <c r="N18" s="11"/>
      <c r="O18" s="11"/>
    </row>
    <row r="19" spans="2:15" s="5" customFormat="1" ht="15" hidden="1">
      <c r="B19" s="103" t="str">
        <f>"not used in "&amp;C5</f>
        <v>not used in Kale</v>
      </c>
      <c r="C19" s="125"/>
      <c r="D19" s="11"/>
      <c r="E19" s="11"/>
      <c r="F19" s="11"/>
      <c r="G19" s="11"/>
      <c r="H19" s="11"/>
      <c r="I19" s="11"/>
      <c r="J19" s="11"/>
      <c r="K19" s="11"/>
      <c r="L19" s="11"/>
      <c r="M19" s="11"/>
      <c r="N19" s="11"/>
      <c r="O19" s="11"/>
    </row>
    <row r="20" ht="15.75" thickBot="1"/>
    <row r="21" spans="2:15" ht="60.75" thickBot="1">
      <c r="B21" s="329" t="s">
        <v>60</v>
      </c>
      <c r="C21" s="330" t="s">
        <v>5</v>
      </c>
      <c r="D21" s="331" t="s">
        <v>153</v>
      </c>
      <c r="E21" s="331" t="s">
        <v>154</v>
      </c>
      <c r="F21" s="330" t="s">
        <v>58</v>
      </c>
      <c r="G21" s="330" t="s">
        <v>160</v>
      </c>
      <c r="H21" s="330" t="s">
        <v>231</v>
      </c>
      <c r="I21" s="332" t="s">
        <v>228</v>
      </c>
      <c r="J21" s="330" t="s">
        <v>129</v>
      </c>
      <c r="K21" s="330" t="s">
        <v>158</v>
      </c>
      <c r="L21" s="330" t="s">
        <v>152</v>
      </c>
      <c r="M21" s="330" t="s">
        <v>135</v>
      </c>
      <c r="N21" s="333" t="s">
        <v>159</v>
      </c>
      <c r="O21" s="334" t="str">
        <f>$C$5&amp;" Annual Fixed Cost"</f>
        <v>Kale Annual Fixed Cost</v>
      </c>
    </row>
    <row r="22" spans="2:15" ht="15">
      <c r="B22" s="488">
        <f>$C$12*(#REF!+#REF!)/2</f>
        <v>0</v>
      </c>
      <c r="C22" s="489"/>
      <c r="D22" s="489"/>
      <c r="E22" s="489"/>
      <c r="F22" s="489"/>
      <c r="G22" s="489"/>
      <c r="H22" s="489"/>
      <c r="I22" s="489"/>
      <c r="J22" s="489"/>
      <c r="K22" s="489"/>
      <c r="L22" s="489"/>
      <c r="M22" s="489"/>
      <c r="N22" s="489"/>
      <c r="O22" s="490"/>
    </row>
    <row r="23" spans="2:15" ht="15">
      <c r="B23" s="136" t="s">
        <v>0</v>
      </c>
      <c r="C23" s="131" t="s">
        <v>91</v>
      </c>
      <c r="D23" s="92">
        <v>23000</v>
      </c>
      <c r="E23" s="92">
        <v>0</v>
      </c>
      <c r="F23" s="93">
        <v>20</v>
      </c>
      <c r="G23" s="128" t="s">
        <v>157</v>
      </c>
      <c r="H23" s="129"/>
      <c r="I23" s="335">
        <f>IF(H23&gt;0,H23,IF(G23=$B$15,$C$8/$C$6,IF(G23=$B$16,$C$8/$C$6,IF(G23=$B$17,$C$8/$C$7,IF(G23=$B$18,$C$8/$C$8,0)))))</f>
        <v>0.025974025974025976</v>
      </c>
      <c r="J23" s="92">
        <v>500</v>
      </c>
      <c r="K23" s="92">
        <v>50</v>
      </c>
      <c r="L23" s="94">
        <f aca="true" t="shared" si="0" ref="L23:L34">IF(AND(F23&gt;0,D23&gt;E23),(D23-E23)/F23,0)</f>
        <v>1150</v>
      </c>
      <c r="M23" s="95">
        <f>$C$12*((D23+E23)/2)</f>
        <v>575</v>
      </c>
      <c r="N23" s="96">
        <f>L23+M23</f>
        <v>1725</v>
      </c>
      <c r="O23" s="17">
        <f aca="true" t="shared" si="1" ref="O23:O34">I23*N23</f>
        <v>44.80519480519481</v>
      </c>
    </row>
    <row r="24" spans="2:15" ht="15">
      <c r="B24" s="136" t="s">
        <v>102</v>
      </c>
      <c r="C24" s="131" t="s">
        <v>103</v>
      </c>
      <c r="D24" s="92">
        <v>4000</v>
      </c>
      <c r="E24" s="92">
        <v>0</v>
      </c>
      <c r="F24" s="93">
        <v>15</v>
      </c>
      <c r="G24" s="128" t="s">
        <v>157</v>
      </c>
      <c r="H24" s="129"/>
      <c r="I24" s="335">
        <f aca="true" t="shared" si="2" ref="I24:I33">IF(H24&gt;0,H24,IF(G24=$B$15,$C$8/$C$6,IF(G24=$B$16,$C$8/$C$6,IF(G24=$B$17,$C$8/$C$7,IF(G24=$B$18,$C$8/$C$8,0)))))</f>
        <v>0.025974025974025976</v>
      </c>
      <c r="J24" s="92">
        <v>50</v>
      </c>
      <c r="K24" s="92">
        <v>0</v>
      </c>
      <c r="L24" s="94">
        <f t="shared" si="0"/>
        <v>266.6666666666667</v>
      </c>
      <c r="M24" s="95">
        <f aca="true" t="shared" si="3" ref="M24:M34">$C$12*((D24+E24)/2)</f>
        <v>100</v>
      </c>
      <c r="N24" s="96">
        <f aca="true" t="shared" si="4" ref="N24:N34">L24+M24</f>
        <v>366.6666666666667</v>
      </c>
      <c r="O24" s="17">
        <f t="shared" si="1"/>
        <v>9.523809523809526</v>
      </c>
    </row>
    <row r="25" spans="2:15" ht="15">
      <c r="B25" s="136" t="s">
        <v>186</v>
      </c>
      <c r="C25" s="131" t="s">
        <v>7</v>
      </c>
      <c r="D25" s="92">
        <v>3000</v>
      </c>
      <c r="E25" s="92">
        <v>0</v>
      </c>
      <c r="F25" s="93">
        <v>30</v>
      </c>
      <c r="G25" s="128" t="s">
        <v>157</v>
      </c>
      <c r="H25" s="129"/>
      <c r="I25" s="335">
        <f t="shared" si="2"/>
        <v>0.025974025974025976</v>
      </c>
      <c r="J25" s="92">
        <v>5</v>
      </c>
      <c r="K25" s="92">
        <v>0</v>
      </c>
      <c r="L25" s="94">
        <f t="shared" si="0"/>
        <v>100</v>
      </c>
      <c r="M25" s="95">
        <f t="shared" si="3"/>
        <v>75</v>
      </c>
      <c r="N25" s="96">
        <f t="shared" si="4"/>
        <v>175</v>
      </c>
      <c r="O25" s="17">
        <f t="shared" si="1"/>
        <v>4.545454545454546</v>
      </c>
    </row>
    <row r="26" spans="2:15" ht="15">
      <c r="B26" s="136" t="s">
        <v>111</v>
      </c>
      <c r="C26" s="131" t="s">
        <v>7</v>
      </c>
      <c r="D26" s="92">
        <v>4000</v>
      </c>
      <c r="E26" s="92">
        <v>0</v>
      </c>
      <c r="F26" s="93">
        <v>10</v>
      </c>
      <c r="G26" s="128" t="s">
        <v>157</v>
      </c>
      <c r="H26" s="129"/>
      <c r="I26" s="335">
        <f t="shared" si="2"/>
        <v>0.025974025974025976</v>
      </c>
      <c r="J26" s="92">
        <v>50</v>
      </c>
      <c r="K26" s="92">
        <v>0</v>
      </c>
      <c r="L26" s="94">
        <f t="shared" si="0"/>
        <v>400</v>
      </c>
      <c r="M26" s="95">
        <f t="shared" si="3"/>
        <v>100</v>
      </c>
      <c r="N26" s="96">
        <f t="shared" si="4"/>
        <v>500</v>
      </c>
      <c r="O26" s="17">
        <f t="shared" si="1"/>
        <v>12.987012987012989</v>
      </c>
    </row>
    <row r="27" spans="2:15" ht="15">
      <c r="B27" s="136" t="s">
        <v>104</v>
      </c>
      <c r="C27" s="131" t="s">
        <v>7</v>
      </c>
      <c r="D27" s="92">
        <v>5000</v>
      </c>
      <c r="E27" s="92">
        <v>0</v>
      </c>
      <c r="F27" s="93">
        <v>10</v>
      </c>
      <c r="G27" s="128" t="s">
        <v>242</v>
      </c>
      <c r="H27" s="129"/>
      <c r="I27" s="335">
        <f t="shared" si="2"/>
        <v>0</v>
      </c>
      <c r="J27" s="92">
        <v>0</v>
      </c>
      <c r="K27" s="92">
        <v>0</v>
      </c>
      <c r="L27" s="94">
        <f>IF(AND(F27&gt;0,D27&gt;E27),(D27-E27)/F27,0)</f>
        <v>500</v>
      </c>
      <c r="M27" s="95">
        <f t="shared" si="3"/>
        <v>125</v>
      </c>
      <c r="N27" s="96">
        <f t="shared" si="4"/>
        <v>625</v>
      </c>
      <c r="O27" s="17">
        <f t="shared" si="1"/>
        <v>0</v>
      </c>
    </row>
    <row r="28" spans="2:15" ht="15">
      <c r="B28" s="136" t="s">
        <v>214</v>
      </c>
      <c r="C28" s="131" t="s">
        <v>6</v>
      </c>
      <c r="D28" s="92">
        <v>24000</v>
      </c>
      <c r="E28" s="92">
        <v>0</v>
      </c>
      <c r="F28" s="93">
        <v>15</v>
      </c>
      <c r="G28" s="128" t="s">
        <v>157</v>
      </c>
      <c r="H28" s="129"/>
      <c r="I28" s="335">
        <f t="shared" si="2"/>
        <v>0.025974025974025976</v>
      </c>
      <c r="J28" s="92">
        <v>1500</v>
      </c>
      <c r="K28" s="92">
        <v>1000</v>
      </c>
      <c r="L28" s="94">
        <f t="shared" si="0"/>
        <v>1600</v>
      </c>
      <c r="M28" s="95">
        <f t="shared" si="3"/>
        <v>600</v>
      </c>
      <c r="N28" s="96">
        <f t="shared" si="4"/>
        <v>2200</v>
      </c>
      <c r="O28" s="17">
        <f t="shared" si="1"/>
        <v>57.142857142857146</v>
      </c>
    </row>
    <row r="29" spans="2:15" ht="15">
      <c r="B29" s="136" t="s">
        <v>213</v>
      </c>
      <c r="C29" s="131" t="s">
        <v>7</v>
      </c>
      <c r="D29" s="92">
        <v>8000</v>
      </c>
      <c r="E29" s="92">
        <v>0</v>
      </c>
      <c r="F29" s="93">
        <v>15</v>
      </c>
      <c r="G29" s="128" t="s">
        <v>157</v>
      </c>
      <c r="H29" s="129"/>
      <c r="I29" s="335">
        <f t="shared" si="2"/>
        <v>0.025974025974025976</v>
      </c>
      <c r="J29" s="92">
        <v>1000</v>
      </c>
      <c r="K29" s="92">
        <v>1000</v>
      </c>
      <c r="L29" s="94">
        <f t="shared" si="0"/>
        <v>533.3333333333334</v>
      </c>
      <c r="M29" s="95">
        <f t="shared" si="3"/>
        <v>200</v>
      </c>
      <c r="N29" s="96">
        <f t="shared" si="4"/>
        <v>733.3333333333334</v>
      </c>
      <c r="O29" s="17">
        <f t="shared" si="1"/>
        <v>19.04761904761905</v>
      </c>
    </row>
    <row r="30" spans="2:15" ht="15">
      <c r="B30" s="130"/>
      <c r="C30" s="126"/>
      <c r="D30" s="132"/>
      <c r="E30" s="132"/>
      <c r="F30" s="133"/>
      <c r="G30" s="128" t="s">
        <v>250</v>
      </c>
      <c r="H30" s="129"/>
      <c r="I30" s="335">
        <f t="shared" si="2"/>
        <v>0.025974025974025976</v>
      </c>
      <c r="J30" s="127"/>
      <c r="K30" s="127"/>
      <c r="L30" s="94">
        <f t="shared" si="0"/>
        <v>0</v>
      </c>
      <c r="M30" s="95">
        <f t="shared" si="3"/>
        <v>0</v>
      </c>
      <c r="N30" s="96">
        <f t="shared" si="4"/>
        <v>0</v>
      </c>
      <c r="O30" s="17">
        <f t="shared" si="1"/>
        <v>0</v>
      </c>
    </row>
    <row r="31" spans="2:15" ht="15">
      <c r="B31" s="130"/>
      <c r="C31" s="126"/>
      <c r="D31" s="132"/>
      <c r="E31" s="132"/>
      <c r="F31" s="133"/>
      <c r="G31" s="128" t="s">
        <v>250</v>
      </c>
      <c r="H31" s="129"/>
      <c r="I31" s="335">
        <f t="shared" si="2"/>
        <v>0.025974025974025976</v>
      </c>
      <c r="J31" s="127"/>
      <c r="K31" s="127"/>
      <c r="L31" s="94">
        <f t="shared" si="0"/>
        <v>0</v>
      </c>
      <c r="M31" s="95">
        <f t="shared" si="3"/>
        <v>0</v>
      </c>
      <c r="N31" s="96">
        <f t="shared" si="4"/>
        <v>0</v>
      </c>
      <c r="O31" s="17">
        <f>I31*N31</f>
        <v>0</v>
      </c>
    </row>
    <row r="32" spans="2:15" ht="15">
      <c r="B32" s="130"/>
      <c r="C32" s="126"/>
      <c r="D32" s="132"/>
      <c r="E32" s="132"/>
      <c r="F32" s="133"/>
      <c r="G32" s="128" t="s">
        <v>250</v>
      </c>
      <c r="H32" s="129"/>
      <c r="I32" s="335">
        <f t="shared" si="2"/>
        <v>0.025974025974025976</v>
      </c>
      <c r="J32" s="127"/>
      <c r="K32" s="127"/>
      <c r="L32" s="94">
        <f t="shared" si="0"/>
        <v>0</v>
      </c>
      <c r="M32" s="95">
        <f t="shared" si="3"/>
        <v>0</v>
      </c>
      <c r="N32" s="96">
        <f t="shared" si="4"/>
        <v>0</v>
      </c>
      <c r="O32" s="17">
        <f t="shared" si="1"/>
        <v>0</v>
      </c>
    </row>
    <row r="33" spans="2:15" ht="15">
      <c r="B33" s="130"/>
      <c r="C33" s="126"/>
      <c r="D33" s="132"/>
      <c r="E33" s="132"/>
      <c r="F33" s="133"/>
      <c r="G33" s="128" t="s">
        <v>250</v>
      </c>
      <c r="H33" s="129"/>
      <c r="I33" s="335">
        <f t="shared" si="2"/>
        <v>0.025974025974025976</v>
      </c>
      <c r="J33" s="127"/>
      <c r="K33" s="127"/>
      <c r="L33" s="94">
        <f t="shared" si="0"/>
        <v>0</v>
      </c>
      <c r="M33" s="95">
        <f t="shared" si="3"/>
        <v>0</v>
      </c>
      <c r="N33" s="96">
        <f t="shared" si="4"/>
        <v>0</v>
      </c>
      <c r="O33" s="17">
        <f t="shared" si="1"/>
        <v>0</v>
      </c>
    </row>
    <row r="34" spans="2:15" ht="15">
      <c r="B34" s="130"/>
      <c r="C34" s="126"/>
      <c r="D34" s="132"/>
      <c r="E34" s="132"/>
      <c r="F34" s="133"/>
      <c r="G34" s="128" t="s">
        <v>250</v>
      </c>
      <c r="H34" s="129"/>
      <c r="I34" s="335">
        <f>IF(H34&gt;0,H34,IF(G34=$B$15,$C$8/$C$6,IF(G34=$B$16,$C$8/$C$6,IF(G34=$B$17,$C$8/$C$7,IF(G34=$B$18,$C$8/$C$8,0)))))</f>
        <v>0.025974025974025976</v>
      </c>
      <c r="J34" s="127"/>
      <c r="K34" s="127"/>
      <c r="L34" s="94">
        <f t="shared" si="0"/>
        <v>0</v>
      </c>
      <c r="M34" s="95">
        <f t="shared" si="3"/>
        <v>0</v>
      </c>
      <c r="N34" s="96">
        <f t="shared" si="4"/>
        <v>0</v>
      </c>
      <c r="O34" s="17">
        <f t="shared" si="1"/>
        <v>0</v>
      </c>
    </row>
    <row r="35" spans="2:15" ht="15.75" thickBot="1">
      <c r="B35" s="97" t="s">
        <v>38</v>
      </c>
      <c r="C35" s="98"/>
      <c r="D35" s="99"/>
      <c r="E35" s="99"/>
      <c r="F35" s="100"/>
      <c r="G35" s="100"/>
      <c r="H35" s="100"/>
      <c r="I35" s="101"/>
      <c r="J35" s="99">
        <f>SUM(J23:J34)</f>
        <v>3105</v>
      </c>
      <c r="K35" s="99">
        <f>SUM(K23:K34)</f>
        <v>2050</v>
      </c>
      <c r="L35" s="302"/>
      <c r="M35" s="303"/>
      <c r="N35" s="304">
        <f>SUM(N23:N34)</f>
        <v>6324.999999999999</v>
      </c>
      <c r="O35" s="304">
        <f>SUM(O23:O34)</f>
        <v>148.05194805194805</v>
      </c>
    </row>
    <row r="36" spans="2:15" ht="15.75" thickBot="1">
      <c r="B36" s="31"/>
      <c r="C36" s="8"/>
      <c r="D36" s="8"/>
      <c r="E36" s="8"/>
      <c r="F36" s="8"/>
      <c r="G36" s="8"/>
      <c r="H36" s="8"/>
      <c r="I36" s="8"/>
      <c r="J36" s="8"/>
      <c r="K36" s="9"/>
      <c r="L36" s="8"/>
      <c r="M36" s="8"/>
      <c r="N36" s="8"/>
      <c r="O36" s="102"/>
    </row>
    <row r="37" spans="2:15" ht="15">
      <c r="B37" s="488" t="s">
        <v>37</v>
      </c>
      <c r="C37" s="489"/>
      <c r="D37" s="489"/>
      <c r="E37" s="489"/>
      <c r="F37" s="489"/>
      <c r="G37" s="489"/>
      <c r="H37" s="489"/>
      <c r="I37" s="489"/>
      <c r="J37" s="489"/>
      <c r="K37" s="489"/>
      <c r="L37" s="489"/>
      <c r="M37" s="489"/>
      <c r="N37" s="489"/>
      <c r="O37" s="490"/>
    </row>
    <row r="38" spans="2:15" ht="15">
      <c r="B38" s="130" t="s">
        <v>108</v>
      </c>
      <c r="C38" s="126"/>
      <c r="D38" s="92">
        <v>600</v>
      </c>
      <c r="E38" s="92">
        <v>0</v>
      </c>
      <c r="F38" s="93">
        <v>20</v>
      </c>
      <c r="G38" s="128" t="s">
        <v>242</v>
      </c>
      <c r="H38" s="153"/>
      <c r="I38" s="335">
        <f>IF(H38&gt;0,H38,IF(G38=$B$15,$C$8/$C$6,IF(G38=$B$16,$C$8/$C$6,IF(G38=$B$17,$C$8/$C$7,IF(G38=$B$18,$C$8/$C$8,0)))))</f>
        <v>0</v>
      </c>
      <c r="J38" s="92">
        <v>0</v>
      </c>
      <c r="K38" s="92">
        <v>0</v>
      </c>
      <c r="L38" s="94">
        <f aca="true" t="shared" si="5" ref="L38:L55">IF(AND(F38&gt;0,D38&gt;E38),(D38-E38)/F38,0)</f>
        <v>30</v>
      </c>
      <c r="M38" s="95">
        <f>$C$12*((D38+E38)/2)</f>
        <v>15</v>
      </c>
      <c r="N38" s="96">
        <f>L38+M38</f>
        <v>45</v>
      </c>
      <c r="O38" s="17">
        <f aca="true" t="shared" si="6" ref="O38:O55">I38*N38</f>
        <v>0</v>
      </c>
    </row>
    <row r="39" spans="2:15" ht="15">
      <c r="B39" s="130" t="s">
        <v>109</v>
      </c>
      <c r="C39" s="126" t="s">
        <v>105</v>
      </c>
      <c r="D39" s="92">
        <v>800</v>
      </c>
      <c r="E39" s="92">
        <v>0</v>
      </c>
      <c r="F39" s="93">
        <v>30</v>
      </c>
      <c r="G39" s="128" t="s">
        <v>242</v>
      </c>
      <c r="H39" s="153"/>
      <c r="I39" s="335">
        <f aca="true" t="shared" si="7" ref="I39:I55">IF(H39&gt;0,H39,IF(G39=$B$15,$C$8/$C$6,IF(G39=$B$16,$C$8/$C$6,IF(G39=$B$17,$C$8/$C$7,IF(G39=$B$18,$C$8/$C$8,0)))))</f>
        <v>0</v>
      </c>
      <c r="J39" s="92">
        <v>0</v>
      </c>
      <c r="K39" s="92">
        <v>0</v>
      </c>
      <c r="L39" s="94">
        <f t="shared" si="5"/>
        <v>26.666666666666668</v>
      </c>
      <c r="M39" s="95">
        <f aca="true" t="shared" si="8" ref="M39:M55">$C$12*((D39+E39)/2)</f>
        <v>20</v>
      </c>
      <c r="N39" s="96">
        <f aca="true" t="shared" si="9" ref="N39:N55">L39+M39</f>
        <v>46.66666666666667</v>
      </c>
      <c r="O39" s="17">
        <f t="shared" si="6"/>
        <v>0</v>
      </c>
    </row>
    <row r="40" spans="2:15" ht="15">
      <c r="B40" s="130" t="s">
        <v>215</v>
      </c>
      <c r="C40" s="126"/>
      <c r="D40" s="92">
        <v>200</v>
      </c>
      <c r="E40" s="92">
        <v>0</v>
      </c>
      <c r="F40" s="93">
        <v>10</v>
      </c>
      <c r="G40" s="128" t="s">
        <v>157</v>
      </c>
      <c r="H40" s="153"/>
      <c r="I40" s="335">
        <f t="shared" si="7"/>
        <v>0.025974025974025976</v>
      </c>
      <c r="J40" s="92">
        <v>0</v>
      </c>
      <c r="K40" s="92">
        <v>0</v>
      </c>
      <c r="L40" s="94">
        <f t="shared" si="5"/>
        <v>20</v>
      </c>
      <c r="M40" s="95">
        <f t="shared" si="8"/>
        <v>5</v>
      </c>
      <c r="N40" s="96">
        <f t="shared" si="9"/>
        <v>25</v>
      </c>
      <c r="O40" s="17">
        <f>I40*N40</f>
        <v>0.6493506493506493</v>
      </c>
    </row>
    <row r="41" spans="2:15" ht="15">
      <c r="B41" s="130" t="s">
        <v>110</v>
      </c>
      <c r="C41" s="126"/>
      <c r="D41" s="92">
        <v>5000</v>
      </c>
      <c r="E41" s="92">
        <v>0</v>
      </c>
      <c r="F41" s="93">
        <v>10</v>
      </c>
      <c r="G41" s="128" t="s">
        <v>242</v>
      </c>
      <c r="H41" s="153"/>
      <c r="I41" s="335">
        <f t="shared" si="7"/>
        <v>0</v>
      </c>
      <c r="J41" s="92">
        <v>0</v>
      </c>
      <c r="K41" s="92">
        <v>0</v>
      </c>
      <c r="L41" s="94">
        <f t="shared" si="5"/>
        <v>500</v>
      </c>
      <c r="M41" s="95">
        <f t="shared" si="8"/>
        <v>125</v>
      </c>
      <c r="N41" s="96">
        <f t="shared" si="9"/>
        <v>625</v>
      </c>
      <c r="O41" s="17">
        <f t="shared" si="6"/>
        <v>0</v>
      </c>
    </row>
    <row r="42" spans="2:15" ht="15">
      <c r="B42" s="130" t="s">
        <v>107</v>
      </c>
      <c r="C42" s="126"/>
      <c r="D42" s="92">
        <v>1000</v>
      </c>
      <c r="E42" s="92">
        <v>0</v>
      </c>
      <c r="F42" s="93">
        <v>10</v>
      </c>
      <c r="G42" s="128" t="s">
        <v>157</v>
      </c>
      <c r="H42" s="153"/>
      <c r="I42" s="335">
        <f t="shared" si="7"/>
        <v>0.025974025974025976</v>
      </c>
      <c r="J42" s="92">
        <v>0</v>
      </c>
      <c r="K42" s="92">
        <v>0</v>
      </c>
      <c r="L42" s="94">
        <f t="shared" si="5"/>
        <v>100</v>
      </c>
      <c r="M42" s="95">
        <f t="shared" si="8"/>
        <v>25</v>
      </c>
      <c r="N42" s="96">
        <f t="shared" si="9"/>
        <v>125</v>
      </c>
      <c r="O42" s="17">
        <f t="shared" si="6"/>
        <v>3.246753246753247</v>
      </c>
    </row>
    <row r="43" spans="2:15" ht="15">
      <c r="B43" s="130" t="s">
        <v>2</v>
      </c>
      <c r="C43" s="126"/>
      <c r="D43" s="92">
        <v>500</v>
      </c>
      <c r="E43" s="92">
        <v>0</v>
      </c>
      <c r="F43" s="93">
        <v>6</v>
      </c>
      <c r="G43" s="128" t="s">
        <v>157</v>
      </c>
      <c r="H43" s="153"/>
      <c r="I43" s="335">
        <f t="shared" si="7"/>
        <v>0.025974025974025976</v>
      </c>
      <c r="J43" s="92">
        <v>0</v>
      </c>
      <c r="K43" s="92">
        <v>0</v>
      </c>
      <c r="L43" s="94">
        <f t="shared" si="5"/>
        <v>83.33333333333333</v>
      </c>
      <c r="M43" s="95">
        <f t="shared" si="8"/>
        <v>12.5</v>
      </c>
      <c r="N43" s="96">
        <f t="shared" si="9"/>
        <v>95.83333333333333</v>
      </c>
      <c r="O43" s="17">
        <f t="shared" si="6"/>
        <v>2.4891774891774894</v>
      </c>
    </row>
    <row r="44" spans="2:15" ht="15">
      <c r="B44" s="130" t="s">
        <v>106</v>
      </c>
      <c r="C44" s="126"/>
      <c r="D44" s="92">
        <v>3000</v>
      </c>
      <c r="E44" s="92">
        <v>0</v>
      </c>
      <c r="F44" s="93">
        <v>10</v>
      </c>
      <c r="G44" s="128" t="s">
        <v>157</v>
      </c>
      <c r="H44" s="153"/>
      <c r="I44" s="335">
        <f t="shared" si="7"/>
        <v>0.025974025974025976</v>
      </c>
      <c r="J44" s="92">
        <v>200</v>
      </c>
      <c r="K44" s="92">
        <v>0</v>
      </c>
      <c r="L44" s="94">
        <f t="shared" si="5"/>
        <v>300</v>
      </c>
      <c r="M44" s="95">
        <f t="shared" si="8"/>
        <v>75</v>
      </c>
      <c r="N44" s="96">
        <f t="shared" si="9"/>
        <v>375</v>
      </c>
      <c r="O44" s="17">
        <f t="shared" si="6"/>
        <v>9.740259740259742</v>
      </c>
    </row>
    <row r="45" spans="2:15" ht="15">
      <c r="B45" s="130" t="s">
        <v>112</v>
      </c>
      <c r="C45" s="126"/>
      <c r="D45" s="92">
        <v>1000</v>
      </c>
      <c r="E45" s="92">
        <v>0</v>
      </c>
      <c r="F45" s="93">
        <v>15</v>
      </c>
      <c r="G45" s="128" t="s">
        <v>157</v>
      </c>
      <c r="H45" s="153"/>
      <c r="I45" s="335">
        <f t="shared" si="7"/>
        <v>0.025974025974025976</v>
      </c>
      <c r="J45" s="92">
        <v>0</v>
      </c>
      <c r="K45" s="92">
        <v>0</v>
      </c>
      <c r="L45" s="94">
        <f t="shared" si="5"/>
        <v>66.66666666666667</v>
      </c>
      <c r="M45" s="95">
        <f t="shared" si="8"/>
        <v>25</v>
      </c>
      <c r="N45" s="96">
        <f t="shared" si="9"/>
        <v>91.66666666666667</v>
      </c>
      <c r="O45" s="17">
        <f t="shared" si="6"/>
        <v>2.3809523809523814</v>
      </c>
    </row>
    <row r="46" spans="2:15" ht="15">
      <c r="B46" s="130" t="s">
        <v>3</v>
      </c>
      <c r="C46" s="126"/>
      <c r="D46" s="92">
        <v>2000</v>
      </c>
      <c r="E46" s="92">
        <v>0</v>
      </c>
      <c r="F46" s="93">
        <v>10</v>
      </c>
      <c r="G46" s="128" t="s">
        <v>157</v>
      </c>
      <c r="H46" s="129"/>
      <c r="I46" s="335">
        <f t="shared" si="7"/>
        <v>0.025974025974025976</v>
      </c>
      <c r="J46" s="92">
        <v>0</v>
      </c>
      <c r="K46" s="92">
        <v>0</v>
      </c>
      <c r="L46" s="94">
        <f t="shared" si="5"/>
        <v>200</v>
      </c>
      <c r="M46" s="95">
        <f t="shared" si="8"/>
        <v>50</v>
      </c>
      <c r="N46" s="96">
        <f t="shared" si="9"/>
        <v>250</v>
      </c>
      <c r="O46" s="17">
        <f t="shared" si="6"/>
        <v>6.493506493506494</v>
      </c>
    </row>
    <row r="47" spans="2:15" ht="15">
      <c r="B47" s="130"/>
      <c r="C47" s="126"/>
      <c r="D47" s="127"/>
      <c r="E47" s="127"/>
      <c r="F47" s="128"/>
      <c r="G47" s="128" t="s">
        <v>250</v>
      </c>
      <c r="H47" s="129"/>
      <c r="I47" s="335">
        <f t="shared" si="7"/>
        <v>0.025974025974025976</v>
      </c>
      <c r="J47" s="127"/>
      <c r="K47" s="127"/>
      <c r="L47" s="94">
        <f t="shared" si="5"/>
        <v>0</v>
      </c>
      <c r="M47" s="95">
        <f t="shared" si="8"/>
        <v>0</v>
      </c>
      <c r="N47" s="96">
        <f t="shared" si="9"/>
        <v>0</v>
      </c>
      <c r="O47" s="17">
        <f t="shared" si="6"/>
        <v>0</v>
      </c>
    </row>
    <row r="48" spans="2:15" ht="15">
      <c r="B48" s="130"/>
      <c r="C48" s="126"/>
      <c r="D48" s="127"/>
      <c r="E48" s="127"/>
      <c r="F48" s="128"/>
      <c r="G48" s="128" t="s">
        <v>250</v>
      </c>
      <c r="H48" s="129"/>
      <c r="I48" s="335">
        <f t="shared" si="7"/>
        <v>0.025974025974025976</v>
      </c>
      <c r="J48" s="127"/>
      <c r="K48" s="127"/>
      <c r="L48" s="94">
        <f t="shared" si="5"/>
        <v>0</v>
      </c>
      <c r="M48" s="95">
        <f t="shared" si="8"/>
        <v>0</v>
      </c>
      <c r="N48" s="96">
        <f t="shared" si="9"/>
        <v>0</v>
      </c>
      <c r="O48" s="17">
        <f t="shared" si="6"/>
        <v>0</v>
      </c>
    </row>
    <row r="49" spans="2:15" ht="15">
      <c r="B49" s="130"/>
      <c r="C49" s="126"/>
      <c r="D49" s="127"/>
      <c r="E49" s="127"/>
      <c r="F49" s="128"/>
      <c r="G49" s="128" t="s">
        <v>250</v>
      </c>
      <c r="H49" s="129"/>
      <c r="I49" s="335">
        <f t="shared" si="7"/>
        <v>0.025974025974025976</v>
      </c>
      <c r="J49" s="127"/>
      <c r="K49" s="127"/>
      <c r="L49" s="94">
        <f t="shared" si="5"/>
        <v>0</v>
      </c>
      <c r="M49" s="95">
        <f t="shared" si="8"/>
        <v>0</v>
      </c>
      <c r="N49" s="96">
        <f t="shared" si="9"/>
        <v>0</v>
      </c>
      <c r="O49" s="17">
        <f t="shared" si="6"/>
        <v>0</v>
      </c>
    </row>
    <row r="50" spans="2:15" ht="15">
      <c r="B50" s="130"/>
      <c r="C50" s="126"/>
      <c r="D50" s="127"/>
      <c r="E50" s="127"/>
      <c r="F50" s="128"/>
      <c r="G50" s="128" t="s">
        <v>250</v>
      </c>
      <c r="H50" s="129"/>
      <c r="I50" s="335">
        <f t="shared" si="7"/>
        <v>0.025974025974025976</v>
      </c>
      <c r="J50" s="127"/>
      <c r="K50" s="127"/>
      <c r="L50" s="94">
        <f t="shared" si="5"/>
        <v>0</v>
      </c>
      <c r="M50" s="95">
        <f t="shared" si="8"/>
        <v>0</v>
      </c>
      <c r="N50" s="96">
        <f t="shared" si="9"/>
        <v>0</v>
      </c>
      <c r="O50" s="17">
        <f t="shared" si="6"/>
        <v>0</v>
      </c>
    </row>
    <row r="51" spans="2:256" ht="15">
      <c r="B51" s="130"/>
      <c r="C51" s="126"/>
      <c r="D51" s="127"/>
      <c r="E51" s="127"/>
      <c r="F51" s="128"/>
      <c r="G51" s="128" t="s">
        <v>250</v>
      </c>
      <c r="H51" s="129"/>
      <c r="I51" s="335">
        <f t="shared" si="7"/>
        <v>0.025974025974025976</v>
      </c>
      <c r="J51" s="127"/>
      <c r="K51" s="127"/>
      <c r="L51" s="94">
        <f t="shared" si="5"/>
        <v>0</v>
      </c>
      <c r="M51" s="95">
        <f t="shared" si="8"/>
        <v>0</v>
      </c>
      <c r="N51" s="96">
        <f t="shared" si="9"/>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2:15" s="1" customFormat="1" ht="15">
      <c r="B52" s="130"/>
      <c r="C52" s="126"/>
      <c r="D52" s="127"/>
      <c r="E52" s="127"/>
      <c r="F52" s="128"/>
      <c r="G52" s="128" t="s">
        <v>250</v>
      </c>
      <c r="H52" s="129"/>
      <c r="I52" s="335">
        <f t="shared" si="7"/>
        <v>0.025974025974025976</v>
      </c>
      <c r="J52" s="127"/>
      <c r="K52" s="127"/>
      <c r="L52" s="94">
        <f t="shared" si="5"/>
        <v>0</v>
      </c>
      <c r="M52" s="95">
        <f t="shared" si="8"/>
        <v>0</v>
      </c>
      <c r="N52" s="96">
        <f t="shared" si="9"/>
        <v>0</v>
      </c>
      <c r="O52" s="17">
        <f t="shared" si="6"/>
        <v>0</v>
      </c>
    </row>
    <row r="53" spans="2:15" s="1" customFormat="1" ht="15">
      <c r="B53" s="130"/>
      <c r="C53" s="126"/>
      <c r="D53" s="127"/>
      <c r="E53" s="127"/>
      <c r="F53" s="128"/>
      <c r="G53" s="128" t="s">
        <v>250</v>
      </c>
      <c r="H53" s="129"/>
      <c r="I53" s="335">
        <f t="shared" si="7"/>
        <v>0.025974025974025976</v>
      </c>
      <c r="J53" s="127"/>
      <c r="K53" s="127"/>
      <c r="L53" s="94">
        <f t="shared" si="5"/>
        <v>0</v>
      </c>
      <c r="M53" s="95">
        <f t="shared" si="8"/>
        <v>0</v>
      </c>
      <c r="N53" s="96">
        <f>L53+M53</f>
        <v>0</v>
      </c>
      <c r="O53" s="17">
        <f t="shared" si="6"/>
        <v>0</v>
      </c>
    </row>
    <row r="54" spans="2:15" s="1" customFormat="1" ht="15">
      <c r="B54" s="130"/>
      <c r="C54" s="126"/>
      <c r="D54" s="127"/>
      <c r="E54" s="127"/>
      <c r="F54" s="128"/>
      <c r="G54" s="128" t="s">
        <v>250</v>
      </c>
      <c r="H54" s="129"/>
      <c r="I54" s="335">
        <f t="shared" si="7"/>
        <v>0.025974025974025976</v>
      </c>
      <c r="J54" s="127"/>
      <c r="K54" s="127"/>
      <c r="L54" s="94">
        <f t="shared" si="5"/>
        <v>0</v>
      </c>
      <c r="M54" s="95">
        <f t="shared" si="8"/>
        <v>0</v>
      </c>
      <c r="N54" s="96">
        <f>L54+M54</f>
        <v>0</v>
      </c>
      <c r="O54" s="17">
        <f t="shared" si="6"/>
        <v>0</v>
      </c>
    </row>
    <row r="55" spans="2:15" ht="15">
      <c r="B55" s="130"/>
      <c r="C55" s="126"/>
      <c r="D55" s="127"/>
      <c r="E55" s="127"/>
      <c r="F55" s="128"/>
      <c r="G55" s="128" t="s">
        <v>250</v>
      </c>
      <c r="H55" s="129"/>
      <c r="I55" s="335">
        <f t="shared" si="7"/>
        <v>0.025974025974025976</v>
      </c>
      <c r="J55" s="127"/>
      <c r="K55" s="127"/>
      <c r="L55" s="94">
        <f t="shared" si="5"/>
        <v>0</v>
      </c>
      <c r="M55" s="95">
        <f t="shared" si="8"/>
        <v>0</v>
      </c>
      <c r="N55" s="96">
        <f t="shared" si="9"/>
        <v>0</v>
      </c>
      <c r="O55" s="17">
        <f t="shared" si="6"/>
        <v>0</v>
      </c>
    </row>
    <row r="56" spans="2:15" ht="15.75" thickBot="1">
      <c r="B56" s="97" t="s">
        <v>131</v>
      </c>
      <c r="C56" s="98"/>
      <c r="D56" s="99"/>
      <c r="E56" s="99"/>
      <c r="F56" s="100"/>
      <c r="G56" s="100"/>
      <c r="H56" s="100"/>
      <c r="I56" s="101"/>
      <c r="J56" s="99">
        <f>SUM(J38:J55)</f>
        <v>200</v>
      </c>
      <c r="K56" s="99">
        <f>SUM(K38:K55)</f>
        <v>0</v>
      </c>
      <c r="L56" s="302"/>
      <c r="M56" s="303"/>
      <c r="N56" s="304">
        <f>SUM(N38:N55)</f>
        <v>1679.1666666666667</v>
      </c>
      <c r="O56" s="304">
        <f>SUM(O38:O55)</f>
        <v>25</v>
      </c>
    </row>
    <row r="57" spans="2:15" ht="15.75" thickBot="1">
      <c r="B57" s="31"/>
      <c r="C57" s="8"/>
      <c r="D57" s="8"/>
      <c r="E57" s="8"/>
      <c r="F57" s="8"/>
      <c r="G57" s="8"/>
      <c r="H57" s="8"/>
      <c r="I57" s="8"/>
      <c r="J57" s="8"/>
      <c r="K57" s="9"/>
      <c r="L57" s="8"/>
      <c r="M57" s="8"/>
      <c r="N57" s="8"/>
      <c r="O57" s="102"/>
    </row>
    <row r="58" spans="2:15" ht="15">
      <c r="B58" s="491" t="s">
        <v>161</v>
      </c>
      <c r="C58" s="492"/>
      <c r="D58" s="492"/>
      <c r="E58" s="492"/>
      <c r="F58" s="492"/>
      <c r="G58" s="492"/>
      <c r="H58" s="492"/>
      <c r="I58" s="492"/>
      <c r="J58" s="492"/>
      <c r="K58" s="492"/>
      <c r="L58" s="492"/>
      <c r="M58" s="492"/>
      <c r="N58" s="492"/>
      <c r="O58" s="493"/>
    </row>
    <row r="59" spans="2:15" ht="15">
      <c r="B59" s="130" t="s">
        <v>18</v>
      </c>
      <c r="C59" s="126" t="s">
        <v>234</v>
      </c>
      <c r="D59" s="92">
        <v>800</v>
      </c>
      <c r="E59" s="92">
        <v>0</v>
      </c>
      <c r="F59" s="93">
        <v>3</v>
      </c>
      <c r="G59" s="128" t="s">
        <v>233</v>
      </c>
      <c r="H59" s="153"/>
      <c r="I59" s="335">
        <f>IF(H59&gt;0,H59,IF(G59=$B$15,$C$8/$C$6,IF(G59=$B$16,$C$8/$C$6,IF(G59=$B$17,$C$8/$C$7,IF(G59=$B$18,$C$8/$C$8,0)))))</f>
        <v>0.15384615384615385</v>
      </c>
      <c r="J59" s="92">
        <v>0</v>
      </c>
      <c r="K59" s="92">
        <v>0</v>
      </c>
      <c r="L59" s="94">
        <f aca="true" t="shared" si="10" ref="L59:L67">IF(AND(F59&gt;0,D59&gt;E59),(D59-E59)/F59,0)</f>
        <v>266.6666666666667</v>
      </c>
      <c r="M59" s="95">
        <f aca="true" t="shared" si="11" ref="M59:M67">$C$12*((D59+E59)/2)</f>
        <v>20</v>
      </c>
      <c r="N59" s="96">
        <f>L59+M59</f>
        <v>286.6666666666667</v>
      </c>
      <c r="O59" s="17">
        <f aca="true" t="shared" si="12" ref="O59:O67">I59*N59</f>
        <v>44.10256410256411</v>
      </c>
    </row>
    <row r="60" spans="2:15" ht="15">
      <c r="B60" s="130" t="s">
        <v>4</v>
      </c>
      <c r="C60" s="126" t="s">
        <v>8</v>
      </c>
      <c r="D60" s="92">
        <v>200</v>
      </c>
      <c r="E60" s="92">
        <v>0</v>
      </c>
      <c r="F60" s="93">
        <v>1</v>
      </c>
      <c r="G60" s="128" t="s">
        <v>233</v>
      </c>
      <c r="H60" s="153"/>
      <c r="I60" s="335">
        <f aca="true" t="shared" si="13" ref="I60:I67">IF(H60&gt;0,H60,IF(G60=$B$15,$C$8/$C$6,IF(G60=$B$16,$C$8/$C$6,IF(G60=$B$17,$C$8/$C$7,IF(G60=$B$18,$C$8/$C$8,0)))))</f>
        <v>0.15384615384615385</v>
      </c>
      <c r="J60" s="92">
        <v>0</v>
      </c>
      <c r="K60" s="92">
        <v>0</v>
      </c>
      <c r="L60" s="94">
        <f t="shared" si="10"/>
        <v>200</v>
      </c>
      <c r="M60" s="95">
        <f t="shared" si="11"/>
        <v>5</v>
      </c>
      <c r="N60" s="96">
        <f aca="true" t="shared" si="14" ref="N60:N67">L60+M60</f>
        <v>205</v>
      </c>
      <c r="O60" s="17">
        <f t="shared" si="12"/>
        <v>31.53846153846154</v>
      </c>
    </row>
    <row r="61" spans="2:15" ht="15">
      <c r="B61" s="130" t="s">
        <v>216</v>
      </c>
      <c r="C61" s="126"/>
      <c r="D61" s="92">
        <v>100</v>
      </c>
      <c r="E61" s="92">
        <v>0</v>
      </c>
      <c r="F61" s="93">
        <v>1</v>
      </c>
      <c r="G61" s="128" t="s">
        <v>233</v>
      </c>
      <c r="H61" s="153"/>
      <c r="I61" s="335">
        <f t="shared" si="13"/>
        <v>0.15384615384615385</v>
      </c>
      <c r="J61" s="92">
        <v>0</v>
      </c>
      <c r="K61" s="92">
        <v>0</v>
      </c>
      <c r="L61" s="94">
        <f t="shared" si="10"/>
        <v>100</v>
      </c>
      <c r="M61" s="95">
        <f t="shared" si="11"/>
        <v>2.5</v>
      </c>
      <c r="N61" s="96">
        <f t="shared" si="14"/>
        <v>102.5</v>
      </c>
      <c r="O61" s="17">
        <f t="shared" si="12"/>
        <v>15.76923076923077</v>
      </c>
    </row>
    <row r="62" spans="2:15" ht="15">
      <c r="B62" s="130" t="s">
        <v>113</v>
      </c>
      <c r="C62" s="126"/>
      <c r="D62" s="92">
        <v>2000</v>
      </c>
      <c r="E62" s="92">
        <v>0</v>
      </c>
      <c r="F62" s="93">
        <v>15</v>
      </c>
      <c r="G62" s="128" t="s">
        <v>233</v>
      </c>
      <c r="H62" s="153"/>
      <c r="I62" s="335">
        <f t="shared" si="13"/>
        <v>0.15384615384615385</v>
      </c>
      <c r="J62" s="92">
        <v>0</v>
      </c>
      <c r="K62" s="92">
        <v>0</v>
      </c>
      <c r="L62" s="94">
        <f t="shared" si="10"/>
        <v>133.33333333333334</v>
      </c>
      <c r="M62" s="95">
        <f t="shared" si="11"/>
        <v>50</v>
      </c>
      <c r="N62" s="96">
        <f t="shared" si="14"/>
        <v>183.33333333333334</v>
      </c>
      <c r="O62" s="17">
        <f t="shared" si="12"/>
        <v>28.205128205128208</v>
      </c>
    </row>
    <row r="63" spans="2:15" ht="15">
      <c r="B63" s="130" t="s">
        <v>217</v>
      </c>
      <c r="C63" s="126"/>
      <c r="D63" s="92">
        <v>800</v>
      </c>
      <c r="E63" s="92">
        <v>0</v>
      </c>
      <c r="F63" s="93">
        <v>15</v>
      </c>
      <c r="G63" s="128" t="s">
        <v>233</v>
      </c>
      <c r="H63" s="153"/>
      <c r="I63" s="335">
        <f t="shared" si="13"/>
        <v>0.15384615384615385</v>
      </c>
      <c r="J63" s="92">
        <v>0</v>
      </c>
      <c r="K63" s="92">
        <v>0</v>
      </c>
      <c r="L63" s="94">
        <f t="shared" si="10"/>
        <v>53.333333333333336</v>
      </c>
      <c r="M63" s="95">
        <f t="shared" si="11"/>
        <v>20</v>
      </c>
      <c r="N63" s="96">
        <f t="shared" si="14"/>
        <v>73.33333333333334</v>
      </c>
      <c r="O63" s="17">
        <f t="shared" si="12"/>
        <v>11.282051282051285</v>
      </c>
    </row>
    <row r="64" spans="2:15" ht="15">
      <c r="B64" s="130"/>
      <c r="C64" s="126"/>
      <c r="D64" s="132"/>
      <c r="E64" s="132"/>
      <c r="F64" s="133"/>
      <c r="G64" s="128" t="s">
        <v>250</v>
      </c>
      <c r="H64" s="153"/>
      <c r="I64" s="335">
        <f t="shared" si="13"/>
        <v>0.025974025974025976</v>
      </c>
      <c r="J64" s="132"/>
      <c r="K64" s="132"/>
      <c r="L64" s="94">
        <f t="shared" si="10"/>
        <v>0</v>
      </c>
      <c r="M64" s="95">
        <f t="shared" si="11"/>
        <v>0</v>
      </c>
      <c r="N64" s="96">
        <f t="shared" si="14"/>
        <v>0</v>
      </c>
      <c r="O64" s="17">
        <f t="shared" si="12"/>
        <v>0</v>
      </c>
    </row>
    <row r="65" spans="2:15" ht="15">
      <c r="B65" s="130"/>
      <c r="C65" s="126"/>
      <c r="D65" s="132"/>
      <c r="E65" s="132"/>
      <c r="F65" s="133"/>
      <c r="G65" s="128" t="s">
        <v>250</v>
      </c>
      <c r="H65" s="153"/>
      <c r="I65" s="335">
        <f t="shared" si="13"/>
        <v>0.025974025974025976</v>
      </c>
      <c r="J65" s="132"/>
      <c r="K65" s="132"/>
      <c r="L65" s="94">
        <f t="shared" si="10"/>
        <v>0</v>
      </c>
      <c r="M65" s="95">
        <f t="shared" si="11"/>
        <v>0</v>
      </c>
      <c r="N65" s="96">
        <f t="shared" si="14"/>
        <v>0</v>
      </c>
      <c r="O65" s="17">
        <f t="shared" si="12"/>
        <v>0</v>
      </c>
    </row>
    <row r="66" spans="2:15" s="1" customFormat="1" ht="15">
      <c r="B66" s="130"/>
      <c r="C66" s="126"/>
      <c r="D66" s="132"/>
      <c r="E66" s="132"/>
      <c r="F66" s="133"/>
      <c r="G66" s="128" t="s">
        <v>250</v>
      </c>
      <c r="H66" s="153"/>
      <c r="I66" s="335">
        <f t="shared" si="13"/>
        <v>0.025974025974025976</v>
      </c>
      <c r="J66" s="132"/>
      <c r="K66" s="132"/>
      <c r="L66" s="94">
        <f t="shared" si="10"/>
        <v>0</v>
      </c>
      <c r="M66" s="95">
        <f t="shared" si="11"/>
        <v>0</v>
      </c>
      <c r="N66" s="96">
        <f t="shared" si="14"/>
        <v>0</v>
      </c>
      <c r="O66" s="17">
        <f t="shared" si="12"/>
        <v>0</v>
      </c>
    </row>
    <row r="67" spans="2:15" s="1" customFormat="1" ht="15">
      <c r="B67" s="130"/>
      <c r="C67" s="126"/>
      <c r="D67" s="132"/>
      <c r="E67" s="132"/>
      <c r="F67" s="133"/>
      <c r="G67" s="128" t="s">
        <v>250</v>
      </c>
      <c r="H67" s="153"/>
      <c r="I67" s="335">
        <f t="shared" si="13"/>
        <v>0.025974025974025976</v>
      </c>
      <c r="J67" s="132"/>
      <c r="K67" s="132"/>
      <c r="L67" s="94">
        <f t="shared" si="10"/>
        <v>0</v>
      </c>
      <c r="M67" s="95">
        <f t="shared" si="11"/>
        <v>0</v>
      </c>
      <c r="N67" s="96">
        <f t="shared" si="14"/>
        <v>0</v>
      </c>
      <c r="O67" s="17">
        <f t="shared" si="12"/>
        <v>0</v>
      </c>
    </row>
    <row r="68" spans="2:15" ht="15.75" thickBot="1">
      <c r="B68" s="97" t="s">
        <v>133</v>
      </c>
      <c r="C68" s="98"/>
      <c r="D68" s="99"/>
      <c r="E68" s="99"/>
      <c r="F68" s="100"/>
      <c r="G68" s="100"/>
      <c r="H68" s="100"/>
      <c r="I68" s="101"/>
      <c r="J68" s="99">
        <f>SUM(J59:J67)</f>
        <v>0</v>
      </c>
      <c r="K68" s="99">
        <f>SUM(K59:K67)</f>
        <v>0</v>
      </c>
      <c r="L68" s="305"/>
      <c r="M68" s="306"/>
      <c r="N68" s="307">
        <f>SUM(N59:N67)</f>
        <v>850.8333333333335</v>
      </c>
      <c r="O68" s="308">
        <f>SUM(O59:O67)</f>
        <v>130.8974358974359</v>
      </c>
    </row>
    <row r="69" spans="2:15" ht="15.75" thickBot="1">
      <c r="B69" s="31"/>
      <c r="C69" s="8"/>
      <c r="D69" s="8"/>
      <c r="E69" s="8"/>
      <c r="F69" s="8"/>
      <c r="G69" s="8"/>
      <c r="H69" s="8"/>
      <c r="I69" s="8"/>
      <c r="J69" s="8"/>
      <c r="K69" s="9"/>
      <c r="L69" s="8"/>
      <c r="M69" s="8"/>
      <c r="N69" s="8"/>
      <c r="O69" s="102"/>
    </row>
    <row r="70" spans="2:15" ht="15">
      <c r="B70" s="482" t="s">
        <v>39</v>
      </c>
      <c r="C70" s="483"/>
      <c r="D70" s="483"/>
      <c r="E70" s="483"/>
      <c r="F70" s="483"/>
      <c r="G70" s="483"/>
      <c r="H70" s="483"/>
      <c r="I70" s="483"/>
      <c r="J70" s="483"/>
      <c r="K70" s="483"/>
      <c r="L70" s="483"/>
      <c r="M70" s="483"/>
      <c r="N70" s="483"/>
      <c r="O70" s="484"/>
    </row>
    <row r="71" spans="2:15" ht="15">
      <c r="B71" s="130" t="s">
        <v>235</v>
      </c>
      <c r="C71" s="126"/>
      <c r="D71" s="92">
        <v>8000</v>
      </c>
      <c r="E71" s="92">
        <v>0</v>
      </c>
      <c r="F71" s="93">
        <v>15</v>
      </c>
      <c r="G71" s="128" t="s">
        <v>233</v>
      </c>
      <c r="H71" s="153"/>
      <c r="I71" s="335">
        <f>IF(H71&gt;0,H71,IF(G71=$B$15,$C$8/$C$6,IF(G71=$B$16,$C$8/$C$6,IF(G71=$B$17,$C$8/$C$7,IF(G71=$B$18,$C$8/$C$8,0)))))</f>
        <v>0.15384615384615385</v>
      </c>
      <c r="J71" s="92">
        <v>75</v>
      </c>
      <c r="K71" s="92">
        <v>0</v>
      </c>
      <c r="L71" s="94">
        <f>IF(AND(F71&gt;0,D71&gt;E71),(D71-E71)/F71,0)</f>
        <v>533.3333333333334</v>
      </c>
      <c r="M71" s="95">
        <f aca="true" t="shared" si="15" ref="M71:M78">$C$12*((D71+E71)/2)</f>
        <v>200</v>
      </c>
      <c r="N71" s="96">
        <f>L71+M71</f>
        <v>733.3333333333334</v>
      </c>
      <c r="O71" s="17">
        <f>I71*N71</f>
        <v>112.82051282051283</v>
      </c>
    </row>
    <row r="72" spans="2:15" ht="15">
      <c r="B72" s="152" t="s">
        <v>236</v>
      </c>
      <c r="C72" s="126"/>
      <c r="D72" s="92">
        <v>5000</v>
      </c>
      <c r="E72" s="92">
        <v>0</v>
      </c>
      <c r="F72" s="93">
        <v>20</v>
      </c>
      <c r="G72" s="128" t="s">
        <v>233</v>
      </c>
      <c r="H72" s="153"/>
      <c r="I72" s="335">
        <f aca="true" t="shared" si="16" ref="I72:I78">IF(H72&gt;0,H72,IF(G72=$B$15,$C$8/$C$6,IF(G72=$B$16,$C$8/$C$6,IF(G72=$B$17,$C$8/$C$7,IF(G72=$B$18,$C$8/$C$8,0)))))</f>
        <v>0.15384615384615385</v>
      </c>
      <c r="J72" s="92">
        <v>100</v>
      </c>
      <c r="K72" s="92">
        <v>0</v>
      </c>
      <c r="L72" s="94">
        <f aca="true" t="shared" si="17" ref="L72:L78">IF(AND(F72&gt;0,D72&gt;E72),(D72-E72)/F72,0)</f>
        <v>250</v>
      </c>
      <c r="M72" s="95">
        <f t="shared" si="15"/>
        <v>125</v>
      </c>
      <c r="N72" s="96">
        <f aca="true" t="shared" si="18" ref="N72:N78">L72+M72</f>
        <v>375</v>
      </c>
      <c r="O72" s="17">
        <f aca="true" t="shared" si="19" ref="O72:O78">I72*N72</f>
        <v>57.69230769230769</v>
      </c>
    </row>
    <row r="73" spans="2:15" ht="15">
      <c r="B73" s="130"/>
      <c r="C73" s="126"/>
      <c r="D73" s="92"/>
      <c r="E73" s="92"/>
      <c r="F73" s="93"/>
      <c r="G73" s="128" t="s">
        <v>250</v>
      </c>
      <c r="H73" s="153"/>
      <c r="I73" s="335">
        <f t="shared" si="16"/>
        <v>0.025974025974025976</v>
      </c>
      <c r="J73" s="92">
        <v>0</v>
      </c>
      <c r="K73" s="92">
        <v>0</v>
      </c>
      <c r="L73" s="94">
        <f t="shared" si="17"/>
        <v>0</v>
      </c>
      <c r="M73" s="95">
        <f t="shared" si="15"/>
        <v>0</v>
      </c>
      <c r="N73" s="96">
        <f t="shared" si="18"/>
        <v>0</v>
      </c>
      <c r="O73" s="17">
        <f t="shared" si="19"/>
        <v>0</v>
      </c>
    </row>
    <row r="74" spans="2:15" ht="15">
      <c r="B74" s="130"/>
      <c r="C74" s="126"/>
      <c r="D74" s="92"/>
      <c r="E74" s="92"/>
      <c r="F74" s="93"/>
      <c r="G74" s="128" t="s">
        <v>250</v>
      </c>
      <c r="H74" s="153"/>
      <c r="I74" s="335">
        <f t="shared" si="16"/>
        <v>0.025974025974025976</v>
      </c>
      <c r="J74" s="92">
        <v>0</v>
      </c>
      <c r="K74" s="92">
        <v>0</v>
      </c>
      <c r="L74" s="94">
        <f t="shared" si="17"/>
        <v>0</v>
      </c>
      <c r="M74" s="95">
        <f t="shared" si="15"/>
        <v>0</v>
      </c>
      <c r="N74" s="96">
        <f t="shared" si="18"/>
        <v>0</v>
      </c>
      <c r="O74" s="17">
        <f t="shared" si="19"/>
        <v>0</v>
      </c>
    </row>
    <row r="75" spans="2:15" ht="15">
      <c r="B75" s="130"/>
      <c r="C75" s="126"/>
      <c r="D75" s="92"/>
      <c r="E75" s="92"/>
      <c r="F75" s="93"/>
      <c r="G75" s="128" t="s">
        <v>250</v>
      </c>
      <c r="H75" s="153"/>
      <c r="I75" s="335">
        <f t="shared" si="16"/>
        <v>0.025974025974025976</v>
      </c>
      <c r="J75" s="92">
        <v>0</v>
      </c>
      <c r="K75" s="92">
        <v>0</v>
      </c>
      <c r="L75" s="94">
        <f t="shared" si="17"/>
        <v>0</v>
      </c>
      <c r="M75" s="95">
        <f t="shared" si="15"/>
        <v>0</v>
      </c>
      <c r="N75" s="96">
        <f t="shared" si="18"/>
        <v>0</v>
      </c>
      <c r="O75" s="17">
        <f t="shared" si="19"/>
        <v>0</v>
      </c>
    </row>
    <row r="76" spans="2:15" ht="15">
      <c r="B76" s="130"/>
      <c r="C76" s="126"/>
      <c r="D76" s="92"/>
      <c r="E76" s="92"/>
      <c r="F76" s="93"/>
      <c r="G76" s="128" t="s">
        <v>250</v>
      </c>
      <c r="H76" s="153"/>
      <c r="I76" s="335">
        <f t="shared" si="16"/>
        <v>0.025974025974025976</v>
      </c>
      <c r="J76" s="92">
        <v>0</v>
      </c>
      <c r="K76" s="92">
        <v>0</v>
      </c>
      <c r="L76" s="94">
        <f t="shared" si="17"/>
        <v>0</v>
      </c>
      <c r="M76" s="95">
        <f t="shared" si="15"/>
        <v>0</v>
      </c>
      <c r="N76" s="96">
        <f t="shared" si="18"/>
        <v>0</v>
      </c>
      <c r="O76" s="17">
        <f t="shared" si="19"/>
        <v>0</v>
      </c>
    </row>
    <row r="77" spans="2:15" s="1" customFormat="1" ht="15">
      <c r="B77" s="130"/>
      <c r="C77" s="126"/>
      <c r="D77" s="132"/>
      <c r="E77" s="132"/>
      <c r="F77" s="133"/>
      <c r="G77" s="128" t="s">
        <v>250</v>
      </c>
      <c r="H77" s="153"/>
      <c r="I77" s="335">
        <f t="shared" si="16"/>
        <v>0.025974025974025976</v>
      </c>
      <c r="J77" s="132"/>
      <c r="K77" s="132"/>
      <c r="L77" s="94">
        <f t="shared" si="17"/>
        <v>0</v>
      </c>
      <c r="M77" s="95">
        <f t="shared" si="15"/>
        <v>0</v>
      </c>
      <c r="N77" s="96">
        <f t="shared" si="18"/>
        <v>0</v>
      </c>
      <c r="O77" s="17">
        <f t="shared" si="19"/>
        <v>0</v>
      </c>
    </row>
    <row r="78" spans="2:15" ht="15">
      <c r="B78" s="130"/>
      <c r="C78" s="126"/>
      <c r="D78" s="132"/>
      <c r="E78" s="132"/>
      <c r="F78" s="133"/>
      <c r="G78" s="128" t="s">
        <v>250</v>
      </c>
      <c r="H78" s="153"/>
      <c r="I78" s="335">
        <f t="shared" si="16"/>
        <v>0.025974025974025976</v>
      </c>
      <c r="J78" s="132"/>
      <c r="K78" s="132"/>
      <c r="L78" s="94">
        <f t="shared" si="17"/>
        <v>0</v>
      </c>
      <c r="M78" s="95">
        <f t="shared" si="15"/>
        <v>0</v>
      </c>
      <c r="N78" s="96">
        <f t="shared" si="18"/>
        <v>0</v>
      </c>
      <c r="O78" s="17">
        <f t="shared" si="19"/>
        <v>0</v>
      </c>
    </row>
    <row r="79" spans="2:15" ht="15.75" thickBot="1">
      <c r="B79" s="97" t="s">
        <v>132</v>
      </c>
      <c r="C79" s="98"/>
      <c r="D79" s="99"/>
      <c r="E79" s="99"/>
      <c r="F79" s="100"/>
      <c r="G79" s="100"/>
      <c r="H79" s="100"/>
      <c r="I79" s="101"/>
      <c r="J79" s="99">
        <f>SUM(J71:J78)</f>
        <v>175</v>
      </c>
      <c r="K79" s="99">
        <f>SUM(K71:K78)</f>
        <v>0</v>
      </c>
      <c r="L79" s="305"/>
      <c r="M79" s="306"/>
      <c r="N79" s="307">
        <f>SUM(N71:N78)</f>
        <v>1108.3333333333335</v>
      </c>
      <c r="O79" s="308">
        <f>SUM(O71:O78)</f>
        <v>170.51282051282053</v>
      </c>
    </row>
    <row r="80" spans="2:15" ht="15">
      <c r="B80" s="7"/>
      <c r="C80" s="8"/>
      <c r="D80" s="8"/>
      <c r="E80" s="8"/>
      <c r="F80" s="8"/>
      <c r="G80" s="8"/>
      <c r="H80" s="8"/>
      <c r="I80" s="8"/>
      <c r="J80" s="8"/>
      <c r="K80" s="9"/>
      <c r="L80" s="8"/>
      <c r="M80" s="8"/>
      <c r="N80" s="8"/>
      <c r="O80" s="102"/>
    </row>
    <row r="81" spans="2:15" ht="15.75" thickBot="1">
      <c r="B81" s="7"/>
      <c r="C81" s="8"/>
      <c r="D81" s="8"/>
      <c r="E81" s="8"/>
      <c r="F81" s="8"/>
      <c r="G81" s="8"/>
      <c r="H81" s="8"/>
      <c r="I81" s="8"/>
      <c r="J81" s="8"/>
      <c r="K81" s="9"/>
      <c r="L81" s="8"/>
      <c r="M81" s="8"/>
      <c r="N81" s="8"/>
      <c r="O81" s="102"/>
    </row>
    <row r="82" spans="2:15" ht="15">
      <c r="B82" s="485" t="s">
        <v>43</v>
      </c>
      <c r="C82" s="486"/>
      <c r="D82" s="486"/>
      <c r="E82" s="486"/>
      <c r="F82" s="486"/>
      <c r="G82" s="486"/>
      <c r="H82" s="486"/>
      <c r="I82" s="486"/>
      <c r="J82" s="486"/>
      <c r="K82" s="486"/>
      <c r="L82" s="486"/>
      <c r="M82" s="486"/>
      <c r="N82" s="486"/>
      <c r="O82" s="487"/>
    </row>
    <row r="83" spans="2:15" ht="15">
      <c r="B83" s="130" t="s">
        <v>187</v>
      </c>
      <c r="C83" s="126"/>
      <c r="D83" s="92">
        <f>400*$C$6</f>
        <v>1540</v>
      </c>
      <c r="E83" s="104"/>
      <c r="F83" s="104"/>
      <c r="G83" s="128" t="s">
        <v>157</v>
      </c>
      <c r="H83" s="154"/>
      <c r="I83" s="335">
        <f>IF(H83&gt;0,H83,IF(G83=$B$15,$C$8/$C$6,IF(G83=$B$16,$C$8/$C$6,IF(G83=$B$17,$C$8/$C$7,IF(G83=$B$18,$C$8/$C$8,0)))))</f>
        <v>0.025974025974025976</v>
      </c>
      <c r="J83" s="104"/>
      <c r="K83" s="104"/>
      <c r="L83" s="104"/>
      <c r="M83" s="105">
        <f>D83*$C$12</f>
        <v>77</v>
      </c>
      <c r="N83" s="16">
        <f aca="true" t="shared" si="20" ref="N83:N93">SUM(D83+M83)</f>
        <v>1617</v>
      </c>
      <c r="O83" s="17">
        <f aca="true" t="shared" si="21" ref="O83:O90">I83*N83</f>
        <v>42</v>
      </c>
    </row>
    <row r="84" spans="2:15" ht="15">
      <c r="B84" s="130" t="s">
        <v>27</v>
      </c>
      <c r="C84" s="126"/>
      <c r="D84" s="92">
        <v>100</v>
      </c>
      <c r="E84" s="104"/>
      <c r="F84" s="104"/>
      <c r="G84" s="128" t="s">
        <v>157</v>
      </c>
      <c r="H84" s="154"/>
      <c r="I84" s="335">
        <f aca="true" t="shared" si="22" ref="I84:I93">IF(H84&gt;0,H84,IF(G84=$B$15,$C$8/$C$6,IF(G84=$B$16,$C$8/$C$6,IF(G84=$B$17,$C$8/$C$7,IF(G84=$B$18,$C$8/$C$8,0)))))</f>
        <v>0.025974025974025976</v>
      </c>
      <c r="J84" s="104"/>
      <c r="K84" s="104"/>
      <c r="L84" s="104"/>
      <c r="M84" s="105">
        <f aca="true" t="shared" si="23" ref="M84:M93">D84*$C$12</f>
        <v>5</v>
      </c>
      <c r="N84" s="16">
        <f t="shared" si="20"/>
        <v>105</v>
      </c>
      <c r="O84" s="17">
        <f t="shared" si="21"/>
        <v>2.7272727272727275</v>
      </c>
    </row>
    <row r="85" spans="2:15" ht="15">
      <c r="B85" s="130" t="s">
        <v>115</v>
      </c>
      <c r="C85" s="126"/>
      <c r="D85" s="92">
        <v>600</v>
      </c>
      <c r="E85" s="104"/>
      <c r="F85" s="104"/>
      <c r="G85" s="128" t="s">
        <v>157</v>
      </c>
      <c r="H85" s="154"/>
      <c r="I85" s="335">
        <f t="shared" si="22"/>
        <v>0.025974025974025976</v>
      </c>
      <c r="J85" s="104"/>
      <c r="K85" s="104"/>
      <c r="L85" s="104"/>
      <c r="M85" s="105">
        <f t="shared" si="23"/>
        <v>30</v>
      </c>
      <c r="N85" s="16">
        <f t="shared" si="20"/>
        <v>630</v>
      </c>
      <c r="O85" s="17">
        <f t="shared" si="21"/>
        <v>16.363636363636363</v>
      </c>
    </row>
    <row r="86" spans="2:15" ht="15">
      <c r="B86" s="130" t="s">
        <v>116</v>
      </c>
      <c r="C86" s="126"/>
      <c r="D86" s="106">
        <f>SUM(K35,K56,K68,K79)</f>
        <v>2050</v>
      </c>
      <c r="E86" s="104"/>
      <c r="F86" s="104"/>
      <c r="G86" s="128" t="s">
        <v>157</v>
      </c>
      <c r="H86" s="154"/>
      <c r="I86" s="335">
        <f t="shared" si="22"/>
        <v>0.025974025974025976</v>
      </c>
      <c r="J86" s="104"/>
      <c r="K86" s="104"/>
      <c r="L86" s="104"/>
      <c r="M86" s="105">
        <f>D86*$C$12</f>
        <v>102.5</v>
      </c>
      <c r="N86" s="16">
        <f>SUM(D86+M86)</f>
        <v>2152.5</v>
      </c>
      <c r="O86" s="17">
        <f>I86*N86</f>
        <v>55.909090909090914</v>
      </c>
    </row>
    <row r="87" spans="2:15" ht="15">
      <c r="B87" s="130" t="s">
        <v>19</v>
      </c>
      <c r="C87" s="126"/>
      <c r="D87" s="92">
        <v>1000</v>
      </c>
      <c r="E87" s="104"/>
      <c r="F87" s="104"/>
      <c r="G87" s="128" t="s">
        <v>157</v>
      </c>
      <c r="H87" s="155"/>
      <c r="I87" s="335">
        <f t="shared" si="22"/>
        <v>0.025974025974025976</v>
      </c>
      <c r="J87" s="104"/>
      <c r="K87" s="104"/>
      <c r="L87" s="104"/>
      <c r="M87" s="105">
        <f t="shared" si="23"/>
        <v>50</v>
      </c>
      <c r="N87" s="16">
        <f t="shared" si="20"/>
        <v>1050</v>
      </c>
      <c r="O87" s="17">
        <f t="shared" si="21"/>
        <v>27.272727272727273</v>
      </c>
    </row>
    <row r="88" spans="2:15" ht="15">
      <c r="B88" s="137" t="s">
        <v>190</v>
      </c>
      <c r="C88" s="126"/>
      <c r="D88" s="92">
        <v>700</v>
      </c>
      <c r="E88" s="104"/>
      <c r="F88" s="104"/>
      <c r="G88" s="128" t="s">
        <v>157</v>
      </c>
      <c r="H88" s="154"/>
      <c r="I88" s="335">
        <f t="shared" si="22"/>
        <v>0.025974025974025976</v>
      </c>
      <c r="J88" s="104"/>
      <c r="K88" s="104"/>
      <c r="L88" s="104"/>
      <c r="M88" s="105">
        <f t="shared" si="23"/>
        <v>35</v>
      </c>
      <c r="N88" s="16">
        <f t="shared" si="20"/>
        <v>735</v>
      </c>
      <c r="O88" s="17">
        <f t="shared" si="21"/>
        <v>19.090909090909093</v>
      </c>
    </row>
    <row r="89" spans="2:15" s="1" customFormat="1" ht="15">
      <c r="B89" s="137" t="s">
        <v>74</v>
      </c>
      <c r="C89" s="126"/>
      <c r="D89" s="92">
        <v>1000</v>
      </c>
      <c r="E89" s="104"/>
      <c r="F89" s="104"/>
      <c r="G89" s="128" t="s">
        <v>157</v>
      </c>
      <c r="H89" s="154"/>
      <c r="I89" s="335">
        <f t="shared" si="22"/>
        <v>0.025974025974025976</v>
      </c>
      <c r="J89" s="104"/>
      <c r="K89" s="104"/>
      <c r="L89" s="104"/>
      <c r="M89" s="105">
        <f t="shared" si="23"/>
        <v>50</v>
      </c>
      <c r="N89" s="16">
        <f t="shared" si="20"/>
        <v>1050</v>
      </c>
      <c r="O89" s="17">
        <f t="shared" si="21"/>
        <v>27.272727272727273</v>
      </c>
    </row>
    <row r="90" spans="2:15" s="1" customFormat="1" ht="15">
      <c r="B90" s="137" t="s">
        <v>75</v>
      </c>
      <c r="C90" s="126"/>
      <c r="D90" s="92">
        <v>500</v>
      </c>
      <c r="E90" s="104"/>
      <c r="F90" s="104"/>
      <c r="G90" s="128" t="s">
        <v>157</v>
      </c>
      <c r="H90" s="154"/>
      <c r="I90" s="335">
        <f t="shared" si="22"/>
        <v>0.025974025974025976</v>
      </c>
      <c r="J90" s="104"/>
      <c r="K90" s="104"/>
      <c r="L90" s="104"/>
      <c r="M90" s="105">
        <f t="shared" si="23"/>
        <v>25</v>
      </c>
      <c r="N90" s="16">
        <f t="shared" si="20"/>
        <v>525</v>
      </c>
      <c r="O90" s="17">
        <f t="shared" si="21"/>
        <v>13.636363636363637</v>
      </c>
    </row>
    <row r="91" spans="2:15" s="1" customFormat="1" ht="15">
      <c r="B91" s="130" t="s">
        <v>117</v>
      </c>
      <c r="C91" s="126"/>
      <c r="D91" s="92">
        <v>6000</v>
      </c>
      <c r="E91" s="104"/>
      <c r="F91" s="104"/>
      <c r="G91" s="128" t="s">
        <v>157</v>
      </c>
      <c r="H91" s="154"/>
      <c r="I91" s="335">
        <f t="shared" si="22"/>
        <v>0.025974025974025976</v>
      </c>
      <c r="J91" s="104"/>
      <c r="K91" s="104"/>
      <c r="L91" s="104"/>
      <c r="M91" s="105">
        <f t="shared" si="23"/>
        <v>300</v>
      </c>
      <c r="N91" s="16">
        <f t="shared" si="20"/>
        <v>6300</v>
      </c>
      <c r="O91" s="17">
        <f>I91*N91</f>
        <v>163.63636363636365</v>
      </c>
    </row>
    <row r="92" spans="2:15" s="1" customFormat="1" ht="15">
      <c r="B92" s="130" t="s">
        <v>118</v>
      </c>
      <c r="C92" s="126"/>
      <c r="D92" s="92">
        <v>700</v>
      </c>
      <c r="E92" s="104"/>
      <c r="F92" s="104"/>
      <c r="G92" s="128" t="s">
        <v>157</v>
      </c>
      <c r="H92" s="154"/>
      <c r="I92" s="335">
        <f t="shared" si="22"/>
        <v>0.025974025974025976</v>
      </c>
      <c r="J92" s="104"/>
      <c r="K92" s="104"/>
      <c r="L92" s="104"/>
      <c r="M92" s="105">
        <f>D92*$C$12</f>
        <v>35</v>
      </c>
      <c r="N92" s="16">
        <f>SUM(D92+M92)</f>
        <v>735</v>
      </c>
      <c r="O92" s="17">
        <f>I92*N92</f>
        <v>19.090909090909093</v>
      </c>
    </row>
    <row r="93" spans="2:15" s="1" customFormat="1" ht="15">
      <c r="B93" s="130"/>
      <c r="C93" s="126"/>
      <c r="D93" s="127"/>
      <c r="E93" s="104"/>
      <c r="F93" s="104"/>
      <c r="G93" s="128" t="s">
        <v>250</v>
      </c>
      <c r="H93" s="154"/>
      <c r="I93" s="335">
        <f t="shared" si="22"/>
        <v>0.025974025974025976</v>
      </c>
      <c r="J93" s="104"/>
      <c r="K93" s="104"/>
      <c r="L93" s="104"/>
      <c r="M93" s="105">
        <f t="shared" si="23"/>
        <v>0</v>
      </c>
      <c r="N93" s="16">
        <f t="shared" si="20"/>
        <v>0</v>
      </c>
      <c r="O93" s="17">
        <f>I93*N93</f>
        <v>0</v>
      </c>
    </row>
    <row r="94" spans="2:15" ht="15.75" thickBot="1">
      <c r="B94" s="134" t="s">
        <v>34</v>
      </c>
      <c r="C94" s="135"/>
      <c r="D94" s="309">
        <f>SUM(D83:D93)</f>
        <v>14190</v>
      </c>
      <c r="E94" s="113"/>
      <c r="F94" s="113"/>
      <c r="G94" s="113"/>
      <c r="H94" s="113"/>
      <c r="I94" s="114"/>
      <c r="J94" s="113"/>
      <c r="K94" s="113"/>
      <c r="L94" s="113"/>
      <c r="M94" s="310">
        <f>SUM(M83:M93)</f>
        <v>709.5</v>
      </c>
      <c r="N94" s="311">
        <f>SUM(N83:N93)</f>
        <v>14899.5</v>
      </c>
      <c r="O94" s="312">
        <f>SUM(O83:O93)</f>
        <v>387</v>
      </c>
    </row>
    <row r="95" spans="2:15" ht="15">
      <c r="B95" s="138"/>
      <c r="C95" s="29"/>
      <c r="D95" s="107"/>
      <c r="E95" s="108"/>
      <c r="F95" s="108"/>
      <c r="G95" s="108"/>
      <c r="H95" s="108"/>
      <c r="I95" s="108"/>
      <c r="J95" s="108"/>
      <c r="K95" s="109"/>
      <c r="L95" s="108"/>
      <c r="M95" s="110"/>
      <c r="N95" s="110"/>
      <c r="O95" s="139"/>
    </row>
    <row r="96" spans="2:15" ht="15.75" thickBot="1">
      <c r="B96" s="138"/>
      <c r="C96" s="29"/>
      <c r="D96" s="107"/>
      <c r="E96" s="108"/>
      <c r="F96" s="108"/>
      <c r="G96" s="108"/>
      <c r="H96" s="108"/>
      <c r="I96" s="108"/>
      <c r="J96" s="108"/>
      <c r="K96" s="109"/>
      <c r="L96" s="108"/>
      <c r="M96" s="110"/>
      <c r="N96" s="110"/>
      <c r="O96" s="139"/>
    </row>
    <row r="97" spans="2:15" ht="15">
      <c r="B97" s="124" t="s">
        <v>130</v>
      </c>
      <c r="C97" s="123"/>
      <c r="D97" s="313"/>
      <c r="E97" s="121"/>
      <c r="F97" s="121"/>
      <c r="G97" s="121"/>
      <c r="H97" s="121"/>
      <c r="I97" s="314"/>
      <c r="J97" s="121"/>
      <c r="K97" s="122"/>
      <c r="L97" s="121"/>
      <c r="M97" s="315"/>
      <c r="N97" s="316"/>
      <c r="O97" s="316">
        <f>SUM(O98:O101)</f>
        <v>112.76723276723277</v>
      </c>
    </row>
    <row r="98" spans="2:15" ht="15">
      <c r="B98" s="336" t="s">
        <v>251</v>
      </c>
      <c r="C98" s="8"/>
      <c r="D98" s="317"/>
      <c r="E98" s="103"/>
      <c r="F98" s="103"/>
      <c r="G98" s="103"/>
      <c r="H98" s="103"/>
      <c r="I98" s="318"/>
      <c r="J98" s="8"/>
      <c r="K98" s="9"/>
      <c r="L98" s="8"/>
      <c r="M98" s="8"/>
      <c r="N98" s="119"/>
      <c r="O98" s="116">
        <f>SUMPRODUCT(J23:J34,I23:I34)</f>
        <v>80.64935064935065</v>
      </c>
    </row>
    <row r="99" spans="2:15" ht="15">
      <c r="B99" s="336" t="s">
        <v>124</v>
      </c>
      <c r="C99" s="8"/>
      <c r="D99" s="317"/>
      <c r="E99" s="103"/>
      <c r="F99" s="103"/>
      <c r="G99" s="103"/>
      <c r="H99" s="103"/>
      <c r="I99" s="318"/>
      <c r="J99" s="8"/>
      <c r="K99" s="9"/>
      <c r="L99" s="8"/>
      <c r="M99" s="8"/>
      <c r="N99" s="119"/>
      <c r="O99" s="117">
        <f>SUMPRODUCT(J38:J55,I38:I55)</f>
        <v>5.194805194805195</v>
      </c>
    </row>
    <row r="100" spans="2:15" ht="15">
      <c r="B100" s="336" t="s">
        <v>123</v>
      </c>
      <c r="C100" s="8"/>
      <c r="D100" s="317"/>
      <c r="E100" s="103"/>
      <c r="F100" s="103"/>
      <c r="G100" s="103"/>
      <c r="H100" s="103"/>
      <c r="I100" s="318"/>
      <c r="J100" s="8"/>
      <c r="K100" s="9"/>
      <c r="L100" s="8"/>
      <c r="M100" s="8"/>
      <c r="N100" s="119"/>
      <c r="O100" s="117">
        <f>SUMPRODUCT(J59:J67,I59:I67)</f>
        <v>0</v>
      </c>
    </row>
    <row r="101" spans="2:15" ht="15.75" thickBot="1">
      <c r="B101" s="337" t="s">
        <v>125</v>
      </c>
      <c r="C101" s="111"/>
      <c r="D101" s="319"/>
      <c r="E101" s="115"/>
      <c r="F101" s="115"/>
      <c r="G101" s="115"/>
      <c r="H101" s="115"/>
      <c r="I101" s="320"/>
      <c r="J101" s="111"/>
      <c r="K101" s="112"/>
      <c r="L101" s="111"/>
      <c r="M101" s="111"/>
      <c r="N101" s="120"/>
      <c r="O101" s="118">
        <f>SUMPRODUCT(J71:J78,I71:I78)</f>
        <v>26.923076923076923</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7" sqref="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8" t="s">
        <v>35</v>
      </c>
      <c r="B2" s="476" t="str">
        <f>'Fixed Costs &amp; Overhead Charges'!B2:O2</f>
        <v>Kale Enterprise Budget, 0.1 Acre, Southwest British Columbia, Canada </v>
      </c>
      <c r="C2" s="477"/>
      <c r="D2" s="477"/>
      <c r="E2" s="477"/>
      <c r="F2" s="478"/>
    </row>
    <row r="3" spans="1:6" ht="19.5" thickBot="1">
      <c r="A3" s="498"/>
      <c r="B3" s="494" t="s">
        <v>128</v>
      </c>
      <c r="C3" s="495"/>
      <c r="D3" s="495"/>
      <c r="E3" s="496"/>
      <c r="F3" s="497"/>
    </row>
    <row r="4" spans="1:6" ht="15">
      <c r="A4" s="498"/>
      <c r="B4" s="38" t="s">
        <v>57</v>
      </c>
      <c r="C4" s="338" t="str">
        <f>'Fixed Costs &amp; Overhead Charges'!C5</f>
        <v>Kale</v>
      </c>
      <c r="D4" s="339"/>
      <c r="E4" s="27"/>
      <c r="F4" s="28"/>
    </row>
    <row r="5" spans="1:6" ht="15">
      <c r="A5" s="498"/>
      <c r="B5" s="39" t="s">
        <v>126</v>
      </c>
      <c r="C5" s="340">
        <f>'Fixed Costs &amp; Overhead Charges'!C8</f>
        <v>0.1</v>
      </c>
      <c r="D5" s="341" t="str">
        <f>'Fixed Costs &amp; Overhead Charges'!D8</f>
        <v>Acre</v>
      </c>
      <c r="E5" s="27"/>
      <c r="F5" s="28"/>
    </row>
    <row r="6" spans="1:6" ht="15.75" thickBot="1">
      <c r="A6" s="498"/>
      <c r="B6" s="38" t="s">
        <v>59</v>
      </c>
      <c r="C6" s="342">
        <f>'Fixed Costs &amp; Overhead Charges'!C13</f>
        <v>4</v>
      </c>
      <c r="D6" s="343" t="str">
        <f>'Fixed Costs &amp; Overhead Charges'!D13</f>
        <v>Months</v>
      </c>
      <c r="E6" s="27"/>
      <c r="F6" s="28"/>
    </row>
    <row r="7" spans="1:6" ht="18" customHeight="1" thickBot="1">
      <c r="A7" s="498"/>
      <c r="B7" s="344" t="s">
        <v>60</v>
      </c>
      <c r="C7" s="345" t="s">
        <v>23</v>
      </c>
      <c r="D7" s="346" t="s">
        <v>17</v>
      </c>
      <c r="E7" s="347" t="s">
        <v>200</v>
      </c>
      <c r="F7" s="181" t="s">
        <v>81</v>
      </c>
    </row>
    <row r="8" spans="1:6" ht="15">
      <c r="A8" s="498"/>
      <c r="B8" s="23" t="s">
        <v>25</v>
      </c>
      <c r="C8" s="40"/>
      <c r="D8" s="41"/>
      <c r="E8" s="42"/>
      <c r="F8" s="43"/>
    </row>
    <row r="9" spans="1:6" ht="15">
      <c r="A9" s="498"/>
      <c r="B9" s="18" t="s">
        <v>191</v>
      </c>
      <c r="C9" s="44">
        <v>2000</v>
      </c>
      <c r="D9" s="25" t="s">
        <v>237</v>
      </c>
      <c r="E9" s="157">
        <v>0.0025</v>
      </c>
      <c r="F9" s="17">
        <f>C9*E9</f>
        <v>5</v>
      </c>
    </row>
    <row r="10" spans="1:6" ht="15">
      <c r="A10" s="498"/>
      <c r="B10" s="18"/>
      <c r="C10" s="44"/>
      <c r="D10" s="25"/>
      <c r="E10" s="156"/>
      <c r="F10" s="17">
        <f>C10*E10</f>
        <v>0</v>
      </c>
    </row>
    <row r="11" spans="1:6" ht="15">
      <c r="A11" s="498"/>
      <c r="B11" s="18"/>
      <c r="C11" s="44"/>
      <c r="D11" s="25"/>
      <c r="E11" s="14"/>
      <c r="F11" s="17">
        <f>C11*E11</f>
        <v>0</v>
      </c>
    </row>
    <row r="12" spans="1:6" ht="15">
      <c r="A12" s="498"/>
      <c r="B12" s="18"/>
      <c r="C12" s="80"/>
      <c r="D12" s="81"/>
      <c r="E12" s="72"/>
      <c r="F12" s="17">
        <f>C12*E12</f>
        <v>0</v>
      </c>
    </row>
    <row r="13" spans="1:6" ht="15">
      <c r="A13" s="498"/>
      <c r="B13" s="58" t="s">
        <v>33</v>
      </c>
      <c r="C13" s="51"/>
      <c r="D13" s="52"/>
      <c r="E13" s="53"/>
      <c r="F13" s="22">
        <f>SUM(F9:F12)</f>
        <v>5</v>
      </c>
    </row>
    <row r="14" spans="1:6" ht="15">
      <c r="A14" s="498"/>
      <c r="B14" s="45" t="s">
        <v>26</v>
      </c>
      <c r="C14" s="46"/>
      <c r="D14" s="47"/>
      <c r="E14" s="48"/>
      <c r="F14" s="49"/>
    </row>
    <row r="15" spans="1:6" ht="15">
      <c r="A15" s="498"/>
      <c r="B15" s="18" t="s">
        <v>218</v>
      </c>
      <c r="C15" s="44">
        <v>1.5</v>
      </c>
      <c r="D15" s="25" t="s">
        <v>219</v>
      </c>
      <c r="E15" s="14">
        <v>40</v>
      </c>
      <c r="F15" s="17">
        <f aca="true" t="shared" si="0" ref="F15:F22">C15*E15</f>
        <v>60</v>
      </c>
    </row>
    <row r="16" spans="1:6" ht="15">
      <c r="A16" s="498"/>
      <c r="B16" s="18" t="s">
        <v>28</v>
      </c>
      <c r="C16" s="44">
        <v>200</v>
      </c>
      <c r="D16" s="25" t="s">
        <v>167</v>
      </c>
      <c r="E16" s="14">
        <v>0.1</v>
      </c>
      <c r="F16" s="17">
        <f t="shared" si="0"/>
        <v>20</v>
      </c>
    </row>
    <row r="17" spans="1:6" ht="15">
      <c r="A17" s="498"/>
      <c r="B17" s="18"/>
      <c r="C17" s="44"/>
      <c r="D17" s="25"/>
      <c r="E17" s="14"/>
      <c r="F17" s="17">
        <f t="shared" si="0"/>
        <v>0</v>
      </c>
    </row>
    <row r="18" spans="1:6" ht="15">
      <c r="A18" s="498"/>
      <c r="B18" s="18"/>
      <c r="C18" s="44"/>
      <c r="D18" s="25"/>
      <c r="E18" s="14"/>
      <c r="F18" s="17">
        <f t="shared" si="0"/>
        <v>0</v>
      </c>
    </row>
    <row r="19" spans="1:6" ht="15">
      <c r="A19" s="498"/>
      <c r="B19" s="18"/>
      <c r="C19" s="44"/>
      <c r="D19" s="25"/>
      <c r="E19" s="14"/>
      <c r="F19" s="17">
        <f t="shared" si="0"/>
        <v>0</v>
      </c>
    </row>
    <row r="20" spans="1:6" ht="15">
      <c r="A20" s="498"/>
      <c r="B20" s="18"/>
      <c r="C20" s="44"/>
      <c r="D20" s="25"/>
      <c r="E20" s="14"/>
      <c r="F20" s="17">
        <f t="shared" si="0"/>
        <v>0</v>
      </c>
    </row>
    <row r="21" spans="1:6" ht="15">
      <c r="A21" s="498"/>
      <c r="B21" s="18"/>
      <c r="C21" s="44"/>
      <c r="D21" s="25"/>
      <c r="E21" s="14"/>
      <c r="F21" s="17">
        <f t="shared" si="0"/>
        <v>0</v>
      </c>
    </row>
    <row r="22" spans="1:6" ht="15">
      <c r="A22" s="498"/>
      <c r="B22" s="18"/>
      <c r="C22" s="80"/>
      <c r="D22" s="81"/>
      <c r="E22" s="72"/>
      <c r="F22" s="76">
        <f t="shared" si="0"/>
        <v>0</v>
      </c>
    </row>
    <row r="23" spans="1:6" ht="15">
      <c r="A23" s="498"/>
      <c r="B23" s="58" t="s">
        <v>33</v>
      </c>
      <c r="C23" s="51"/>
      <c r="D23" s="52"/>
      <c r="E23" s="53"/>
      <c r="F23" s="22">
        <f>SUM(F15:F22)</f>
        <v>80</v>
      </c>
    </row>
    <row r="24" spans="1:6" ht="15">
      <c r="A24" s="498"/>
      <c r="B24" s="45" t="s">
        <v>53</v>
      </c>
      <c r="C24" s="46"/>
      <c r="D24" s="47"/>
      <c r="E24" s="48"/>
      <c r="F24" s="49"/>
    </row>
    <row r="25" spans="1:6" ht="15">
      <c r="A25" s="498"/>
      <c r="B25" s="18" t="s">
        <v>221</v>
      </c>
      <c r="C25" s="44">
        <v>1</v>
      </c>
      <c r="D25" s="25"/>
      <c r="E25" s="14">
        <v>25</v>
      </c>
      <c r="F25" s="17">
        <f aca="true" t="shared" si="1" ref="F25:F32">C25*E25</f>
        <v>25</v>
      </c>
    </row>
    <row r="26" spans="1:6" ht="15">
      <c r="A26" s="498"/>
      <c r="B26" s="18" t="s">
        <v>220</v>
      </c>
      <c r="C26" s="44">
        <v>20</v>
      </c>
      <c r="D26" s="25" t="s">
        <v>244</v>
      </c>
      <c r="E26" s="14">
        <v>1.2</v>
      </c>
      <c r="F26" s="17">
        <f t="shared" si="1"/>
        <v>24</v>
      </c>
    </row>
    <row r="27" spans="1:6" ht="15">
      <c r="A27" s="498"/>
      <c r="B27" s="18"/>
      <c r="C27" s="44"/>
      <c r="D27" s="25"/>
      <c r="E27" s="14"/>
      <c r="F27" s="17">
        <f t="shared" si="1"/>
        <v>0</v>
      </c>
    </row>
    <row r="28" spans="1:6" ht="15">
      <c r="A28" s="498"/>
      <c r="B28" s="18"/>
      <c r="C28" s="44"/>
      <c r="D28" s="25"/>
      <c r="E28" s="14"/>
      <c r="F28" s="17">
        <f t="shared" si="1"/>
        <v>0</v>
      </c>
    </row>
    <row r="29" spans="1:6" ht="15">
      <c r="A29" s="498"/>
      <c r="B29" s="18"/>
      <c r="C29" s="44"/>
      <c r="D29" s="25"/>
      <c r="E29" s="14"/>
      <c r="F29" s="17">
        <f t="shared" si="1"/>
        <v>0</v>
      </c>
    </row>
    <row r="30" spans="1:6" ht="15">
      <c r="A30" s="498"/>
      <c r="B30" s="18"/>
      <c r="C30" s="44"/>
      <c r="D30" s="25"/>
      <c r="E30" s="14"/>
      <c r="F30" s="17">
        <f t="shared" si="1"/>
        <v>0</v>
      </c>
    </row>
    <row r="31" spans="1:6" ht="15">
      <c r="A31" s="498"/>
      <c r="B31" s="18"/>
      <c r="C31" s="44"/>
      <c r="D31" s="25"/>
      <c r="E31" s="14"/>
      <c r="F31" s="17">
        <f t="shared" si="1"/>
        <v>0</v>
      </c>
    </row>
    <row r="32" spans="1:6" ht="15">
      <c r="A32" s="498"/>
      <c r="B32" s="18"/>
      <c r="C32" s="82"/>
      <c r="D32" s="83"/>
      <c r="E32" s="84"/>
      <c r="F32" s="76">
        <f t="shared" si="1"/>
        <v>0</v>
      </c>
    </row>
    <row r="33" spans="1:6" ht="15.75" thickBot="1">
      <c r="A33" s="498"/>
      <c r="B33" s="85" t="s">
        <v>33</v>
      </c>
      <c r="C33" s="55"/>
      <c r="D33" s="56"/>
      <c r="E33" s="57"/>
      <c r="F33" s="50">
        <f>SUM(F25:F32)</f>
        <v>49</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tabColor rgb="FFFFFF00"/>
  </sheetPr>
  <dimension ref="A1:M51"/>
  <sheetViews>
    <sheetView zoomScalePageLayoutView="0" workbookViewId="0" topLeftCell="A28">
      <selection activeCell="D38" sqref="D38"/>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9" t="s">
        <v>13</v>
      </c>
    </row>
    <row r="2" spans="1:13" ht="19.5" thickBot="1">
      <c r="A2" s="499"/>
      <c r="B2" s="476" t="str">
        <f>'Fixed Costs &amp; Overhead Charges'!B2:O2</f>
        <v>Kale Enterprise Budget, 0.1 Acre, Southwest British Columbia, Canada </v>
      </c>
      <c r="C2" s="477"/>
      <c r="D2" s="477"/>
      <c r="E2" s="477"/>
      <c r="F2" s="477"/>
      <c r="G2" s="477"/>
      <c r="H2" s="477"/>
      <c r="I2" s="477"/>
      <c r="J2" s="477"/>
      <c r="K2" s="477"/>
      <c r="L2" s="477"/>
      <c r="M2" s="478"/>
    </row>
    <row r="3" spans="1:13" ht="19.5" thickBot="1">
      <c r="A3" s="499"/>
      <c r="B3" s="476" t="s">
        <v>134</v>
      </c>
      <c r="C3" s="477"/>
      <c r="D3" s="477"/>
      <c r="E3" s="477"/>
      <c r="F3" s="477"/>
      <c r="G3" s="477"/>
      <c r="H3" s="477"/>
      <c r="I3" s="477"/>
      <c r="J3" s="477"/>
      <c r="K3" s="477"/>
      <c r="L3" s="477"/>
      <c r="M3" s="478"/>
    </row>
    <row r="4" spans="1:13" ht="15">
      <c r="A4" s="499"/>
      <c r="B4" s="354" t="str">
        <f>'Fixed Costs &amp; Overhead Charges'!B5</f>
        <v>Crop</v>
      </c>
      <c r="C4" s="355" t="str">
        <f>'Fixed Costs &amp; Overhead Charges'!C5</f>
        <v>Kale</v>
      </c>
      <c r="D4" s="356"/>
      <c r="E4" s="145"/>
      <c r="F4" s="145"/>
      <c r="G4" s="145"/>
      <c r="H4" s="145"/>
      <c r="I4" s="145"/>
      <c r="J4" s="145"/>
      <c r="K4" s="145"/>
      <c r="L4" s="145"/>
      <c r="M4" s="146"/>
    </row>
    <row r="5" spans="1:13" ht="15">
      <c r="A5" s="499"/>
      <c r="B5" s="357" t="str">
        <f>'Fixed Costs &amp; Overhead Charges'!B8</f>
        <v>Kale cultivated area</v>
      </c>
      <c r="C5" s="358">
        <f>'Fixed Costs &amp; Overhead Charges'!C8</f>
        <v>0.1</v>
      </c>
      <c r="D5" s="359" t="str">
        <f>'Fixed Costs &amp; Overhead Charges'!D8</f>
        <v>Acre</v>
      </c>
      <c r="E5" s="145"/>
      <c r="F5" s="145"/>
      <c r="G5" s="145"/>
      <c r="H5" s="145"/>
      <c r="I5" s="145"/>
      <c r="J5" s="145"/>
      <c r="K5" s="145"/>
      <c r="L5" s="145"/>
      <c r="M5" s="146"/>
    </row>
    <row r="6" spans="1:13" ht="15.75" thickBot="1">
      <c r="A6" s="499"/>
      <c r="B6" s="360" t="str">
        <f>'Fixed Costs &amp; Overhead Charges'!B13</f>
        <v>Growing season </v>
      </c>
      <c r="C6" s="361">
        <f>'Fixed Costs &amp; Overhead Charges'!C13</f>
        <v>4</v>
      </c>
      <c r="D6" s="362" t="str">
        <f>'Fixed Costs &amp; Overhead Charges'!D13</f>
        <v>Months</v>
      </c>
      <c r="E6" s="145"/>
      <c r="F6" s="145"/>
      <c r="G6" s="145"/>
      <c r="H6" s="145"/>
      <c r="I6" s="145"/>
      <c r="J6" s="145"/>
      <c r="K6" s="145"/>
      <c r="L6" s="145"/>
      <c r="M6" s="146"/>
    </row>
    <row r="7" spans="1:13" s="5" customFormat="1" ht="60">
      <c r="A7" s="499"/>
      <c r="B7" s="363" t="s">
        <v>20</v>
      </c>
      <c r="C7" s="364" t="s">
        <v>40</v>
      </c>
      <c r="D7" s="364" t="s">
        <v>142</v>
      </c>
      <c r="E7" s="364" t="s">
        <v>136</v>
      </c>
      <c r="F7" s="364" t="s">
        <v>137</v>
      </c>
      <c r="G7" s="364" t="s">
        <v>138</v>
      </c>
      <c r="H7" s="364" t="s">
        <v>41</v>
      </c>
      <c r="I7" s="364" t="s">
        <v>90</v>
      </c>
      <c r="J7" s="364" t="s">
        <v>141</v>
      </c>
      <c r="K7" s="365" t="s">
        <v>139</v>
      </c>
      <c r="L7" s="365" t="s">
        <v>140</v>
      </c>
      <c r="M7" s="366" t="s">
        <v>42</v>
      </c>
    </row>
    <row r="8" spans="1:13" ht="15">
      <c r="A8" s="499"/>
      <c r="B8" s="500" t="s">
        <v>9</v>
      </c>
      <c r="C8" s="501"/>
      <c r="D8" s="501"/>
      <c r="E8" s="501"/>
      <c r="F8" s="501"/>
      <c r="G8" s="501"/>
      <c r="H8" s="501"/>
      <c r="I8" s="501"/>
      <c r="J8" s="501"/>
      <c r="K8" s="501"/>
      <c r="L8" s="501"/>
      <c r="M8" s="502"/>
    </row>
    <row r="9" spans="1:13" ht="15">
      <c r="A9" s="499"/>
      <c r="B9" s="12" t="s">
        <v>238</v>
      </c>
      <c r="C9" s="13">
        <v>0</v>
      </c>
      <c r="D9" s="13">
        <v>0.75</v>
      </c>
      <c r="E9" s="14"/>
      <c r="F9" s="13">
        <v>12</v>
      </c>
      <c r="G9" s="13">
        <v>15</v>
      </c>
      <c r="H9" s="13">
        <v>25</v>
      </c>
      <c r="I9" s="15">
        <f>((0.52*0.7+0.77-(0.04*SQRT(738*0.7+173)))*(0.7*H9))*3.78541</f>
        <v>5.537429216688997</v>
      </c>
      <c r="J9" s="13">
        <v>1.3</v>
      </c>
      <c r="K9" s="16">
        <f>C9*F9+D9*G9</f>
        <v>11.25</v>
      </c>
      <c r="L9" s="16">
        <f>(D9*I9*J9)+E9</f>
        <v>5.398993486271771</v>
      </c>
      <c r="M9" s="17">
        <f>K9+L9</f>
        <v>16.64899348627177</v>
      </c>
    </row>
    <row r="10" spans="1:13" ht="15">
      <c r="A10" s="499"/>
      <c r="B10" s="18" t="s">
        <v>222</v>
      </c>
      <c r="C10" s="13">
        <v>0</v>
      </c>
      <c r="D10" s="13">
        <v>0.75</v>
      </c>
      <c r="E10" s="14"/>
      <c r="F10" s="19">
        <f>IF(C10&gt;0,$F$9,0)</f>
        <v>0</v>
      </c>
      <c r="G10" s="19">
        <f>IF(D10&gt;0,$G$9,0)</f>
        <v>15</v>
      </c>
      <c r="H10" s="19">
        <f>IF(D10&gt;0,$H$9,0)</f>
        <v>25</v>
      </c>
      <c r="I10" s="15">
        <f>((((0.52*0.6)+0.77)-(0.04*SQRT(738*0.6+173)))*(0.6*H10))*3.78541</f>
        <v>5.075512894300047</v>
      </c>
      <c r="J10" s="19">
        <f>IF(D10&gt;0,$J$9,0)</f>
        <v>1.3</v>
      </c>
      <c r="K10" s="16">
        <f>C10*F10+D10*G10</f>
        <v>11.25</v>
      </c>
      <c r="L10" s="16">
        <f>(D10*I10*J10)+E10</f>
        <v>4.948625071942546</v>
      </c>
      <c r="M10" s="17">
        <f>K10+L10</f>
        <v>16.198625071942544</v>
      </c>
    </row>
    <row r="11" spans="1:13" ht="15">
      <c r="A11" s="499"/>
      <c r="B11" s="18" t="s">
        <v>11</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9"/>
      <c r="B12" s="58" t="s">
        <v>33</v>
      </c>
      <c r="C12" s="52"/>
      <c r="D12" s="52"/>
      <c r="E12" s="53"/>
      <c r="F12" s="69"/>
      <c r="G12" s="69"/>
      <c r="H12" s="69"/>
      <c r="I12" s="70"/>
      <c r="J12" s="69"/>
      <c r="K12" s="53">
        <f>SUM(K9:K11)</f>
        <v>22.5</v>
      </c>
      <c r="L12" s="53">
        <f>SUM(L9:L11)</f>
        <v>10.347618558214318</v>
      </c>
      <c r="M12" s="348">
        <f>SUM(M9:M11)</f>
        <v>32.847618558214315</v>
      </c>
    </row>
    <row r="13" spans="1:13" ht="15">
      <c r="A13" s="499"/>
      <c r="B13" s="503" t="s">
        <v>10</v>
      </c>
      <c r="C13" s="504"/>
      <c r="D13" s="504"/>
      <c r="E13" s="504"/>
      <c r="F13" s="504"/>
      <c r="G13" s="504"/>
      <c r="H13" s="504"/>
      <c r="I13" s="504"/>
      <c r="J13" s="504"/>
      <c r="K13" s="504"/>
      <c r="L13" s="504"/>
      <c r="M13" s="505"/>
    </row>
    <row r="14" spans="1:13" ht="15">
      <c r="A14" s="499"/>
      <c r="B14" s="18" t="s">
        <v>85</v>
      </c>
      <c r="C14" s="13">
        <v>0</v>
      </c>
      <c r="D14" s="13">
        <v>0</v>
      </c>
      <c r="E14" s="14"/>
      <c r="F14" s="19">
        <f>IF(C14&gt;0,$F$9,0)</f>
        <v>0</v>
      </c>
      <c r="G14" s="19">
        <f>IF(D14&gt;0,$G$9,0)</f>
        <v>0</v>
      </c>
      <c r="H14" s="19">
        <f>IF(D14&gt;0,$H$9,0)</f>
        <v>0</v>
      </c>
      <c r="I14" s="15">
        <f>((((0.52*0.6)+0.77)-(0.04*SQRT(738*0.6+173)))*(0.6*H14))*3.78541</f>
        <v>0</v>
      </c>
      <c r="J14" s="19">
        <f>IF(D14&gt;0,$J$9,0)</f>
        <v>0</v>
      </c>
      <c r="K14" s="16">
        <f>C14*F14+D14*G14</f>
        <v>0</v>
      </c>
      <c r="L14" s="16">
        <f>(D14*I14*J14)+E14</f>
        <v>0</v>
      </c>
      <c r="M14" s="17">
        <f>K14+L14</f>
        <v>0</v>
      </c>
    </row>
    <row r="15" spans="1:13" ht="15">
      <c r="A15" s="499"/>
      <c r="B15" s="18" t="s">
        <v>223</v>
      </c>
      <c r="C15" s="13">
        <v>10</v>
      </c>
      <c r="D15" s="13"/>
      <c r="E15" s="14"/>
      <c r="F15" s="19">
        <f>IF(C15&gt;0,$F$9,0)</f>
        <v>12</v>
      </c>
      <c r="G15" s="19">
        <f>IF(D15&gt;0,$G$9,0)</f>
        <v>0</v>
      </c>
      <c r="H15" s="19">
        <f>IF(D15&gt;0,$H$9,0)</f>
        <v>0</v>
      </c>
      <c r="I15" s="15">
        <f>((((0.52*0.6)+0.77)-(0.04*SQRT(738*0.6+173)))*(0.6*H15))*3.78541</f>
        <v>0</v>
      </c>
      <c r="J15" s="19">
        <f>IF(D15&gt;0,$J$9,0)</f>
        <v>0</v>
      </c>
      <c r="K15" s="16">
        <f>C15*F15+D15*G15</f>
        <v>120</v>
      </c>
      <c r="L15" s="16">
        <f>(D15*I15*J15)+E15</f>
        <v>0</v>
      </c>
      <c r="M15" s="17">
        <f>K15+L15</f>
        <v>120</v>
      </c>
    </row>
    <row r="16" spans="1:13" ht="15">
      <c r="A16" s="499"/>
      <c r="B16" s="58" t="s">
        <v>33</v>
      </c>
      <c r="C16" s="52"/>
      <c r="D16" s="52"/>
      <c r="E16" s="53"/>
      <c r="F16" s="69"/>
      <c r="G16" s="69"/>
      <c r="H16" s="69"/>
      <c r="I16" s="70"/>
      <c r="J16" s="69"/>
      <c r="K16" s="53">
        <f>SUM(K14:K15)</f>
        <v>120</v>
      </c>
      <c r="L16" s="53">
        <f>SUM(L14:L15)</f>
        <v>0</v>
      </c>
      <c r="M16" s="348">
        <f>SUM(M14:M15)</f>
        <v>120</v>
      </c>
    </row>
    <row r="17" spans="1:13" ht="15">
      <c r="A17" s="499"/>
      <c r="B17" s="503" t="s">
        <v>12</v>
      </c>
      <c r="C17" s="504"/>
      <c r="D17" s="504"/>
      <c r="E17" s="504"/>
      <c r="F17" s="504"/>
      <c r="G17" s="504"/>
      <c r="H17" s="504"/>
      <c r="I17" s="504"/>
      <c r="J17" s="504"/>
      <c r="K17" s="504"/>
      <c r="L17" s="504"/>
      <c r="M17" s="505"/>
    </row>
    <row r="18" spans="1:13" ht="15">
      <c r="A18" s="499"/>
      <c r="B18" s="18" t="s">
        <v>224</v>
      </c>
      <c r="C18" s="13">
        <v>16</v>
      </c>
      <c r="D18" s="13">
        <v>0</v>
      </c>
      <c r="E18" s="14"/>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192</v>
      </c>
      <c r="L18" s="16">
        <f aca="true" t="shared" si="5" ref="L18:L24">(D18*I18*J18)+E18</f>
        <v>0</v>
      </c>
      <c r="M18" s="17">
        <f aca="true" t="shared" si="6" ref="M18:M24">K18+L18</f>
        <v>192</v>
      </c>
    </row>
    <row r="19" spans="1:13" ht="15">
      <c r="A19" s="499"/>
      <c r="B19" s="18" t="s">
        <v>239</v>
      </c>
      <c r="C19" s="13">
        <v>0</v>
      </c>
      <c r="D19" s="13">
        <v>0</v>
      </c>
      <c r="E19" s="14"/>
      <c r="F19" s="19">
        <f t="shared" si="0"/>
        <v>0</v>
      </c>
      <c r="G19" s="19">
        <f>IF(D19&gt;0,$G$9,0)</f>
        <v>0</v>
      </c>
      <c r="H19" s="19">
        <f aca="true" t="shared" si="7" ref="H19:H24">IF(D19&gt;0,$H$9,0)</f>
        <v>0</v>
      </c>
      <c r="I19" s="15">
        <f t="shared" si="2"/>
        <v>0</v>
      </c>
      <c r="J19" s="19">
        <f t="shared" si="3"/>
        <v>0</v>
      </c>
      <c r="K19" s="16">
        <f t="shared" si="4"/>
        <v>0</v>
      </c>
      <c r="L19" s="16">
        <f t="shared" si="5"/>
        <v>0</v>
      </c>
      <c r="M19" s="17">
        <f t="shared" si="6"/>
        <v>0</v>
      </c>
    </row>
    <row r="20" spans="1:13" ht="15">
      <c r="A20" s="499"/>
      <c r="B20" s="18" t="s">
        <v>32</v>
      </c>
      <c r="C20" s="13">
        <v>0</v>
      </c>
      <c r="D20" s="13">
        <v>0</v>
      </c>
      <c r="E20" s="14"/>
      <c r="F20" s="19">
        <f t="shared" si="0"/>
        <v>0</v>
      </c>
      <c r="G20" s="19">
        <f t="shared" si="1"/>
        <v>0</v>
      </c>
      <c r="H20" s="19">
        <f t="shared" si="7"/>
        <v>0</v>
      </c>
      <c r="I20" s="15">
        <f t="shared" si="2"/>
        <v>0</v>
      </c>
      <c r="J20" s="19">
        <f t="shared" si="3"/>
        <v>0</v>
      </c>
      <c r="K20" s="16">
        <f t="shared" si="4"/>
        <v>0</v>
      </c>
      <c r="L20" s="16">
        <f t="shared" si="5"/>
        <v>0</v>
      </c>
      <c r="M20" s="17">
        <f t="shared" si="6"/>
        <v>0</v>
      </c>
    </row>
    <row r="21" spans="1:13" ht="15">
      <c r="A21" s="499"/>
      <c r="B21" s="18" t="s">
        <v>225</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9"/>
      <c r="B22" s="18" t="s">
        <v>97</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9"/>
      <c r="B23" s="18" t="s">
        <v>98</v>
      </c>
      <c r="C23" s="13">
        <v>0</v>
      </c>
      <c r="D23" s="13">
        <v>0</v>
      </c>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9"/>
      <c r="B24" s="18" t="s">
        <v>99</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9"/>
      <c r="B25" s="58" t="s">
        <v>33</v>
      </c>
      <c r="C25" s="52"/>
      <c r="D25" s="52"/>
      <c r="E25" s="53"/>
      <c r="F25" s="52"/>
      <c r="G25" s="52"/>
      <c r="H25" s="69"/>
      <c r="I25" s="70"/>
      <c r="J25" s="69"/>
      <c r="K25" s="53">
        <f>SUM(K18:K24)</f>
        <v>192</v>
      </c>
      <c r="L25" s="53">
        <f>SUM(L18:L24)</f>
        <v>0</v>
      </c>
      <c r="M25" s="348">
        <f>SUM(M18:M24)</f>
        <v>192</v>
      </c>
    </row>
    <row r="26" spans="1:13" ht="15">
      <c r="A26" s="499"/>
      <c r="B26" s="506" t="s">
        <v>55</v>
      </c>
      <c r="C26" s="507"/>
      <c r="D26" s="507"/>
      <c r="E26" s="507"/>
      <c r="F26" s="507"/>
      <c r="G26" s="507"/>
      <c r="H26" s="507"/>
      <c r="I26" s="507"/>
      <c r="J26" s="507"/>
      <c r="K26" s="507"/>
      <c r="L26" s="507"/>
      <c r="M26" s="508"/>
    </row>
    <row r="27" spans="1:13" ht="15">
      <c r="A27" s="499"/>
      <c r="B27" s="18" t="s">
        <v>226</v>
      </c>
      <c r="C27" s="13">
        <v>5</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60</v>
      </c>
      <c r="L27" s="16">
        <f aca="true" t="shared" si="13" ref="L27:L39">(D27*I27*J27)+E27</f>
        <v>0</v>
      </c>
      <c r="M27" s="17">
        <f aca="true" t="shared" si="14" ref="M27:M39">K27+L27</f>
        <v>60</v>
      </c>
    </row>
    <row r="28" spans="1:13" ht="15">
      <c r="A28" s="499"/>
      <c r="B28" s="18" t="s">
        <v>240</v>
      </c>
      <c r="C28" s="13">
        <v>0</v>
      </c>
      <c r="D28" s="13">
        <v>0</v>
      </c>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9"/>
      <c r="B29" s="18" t="s">
        <v>98</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9"/>
      <c r="B30" s="18" t="s">
        <v>99</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9"/>
      <c r="B31" s="18" t="s">
        <v>100</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9"/>
      <c r="B32" s="58" t="s">
        <v>33</v>
      </c>
      <c r="C32" s="52"/>
      <c r="D32" s="52"/>
      <c r="E32" s="53"/>
      <c r="F32" s="52"/>
      <c r="G32" s="52"/>
      <c r="H32" s="52"/>
      <c r="I32" s="349"/>
      <c r="J32" s="52"/>
      <c r="K32" s="53">
        <f>SUM(K27:K31)</f>
        <v>60</v>
      </c>
      <c r="L32" s="53">
        <f>SUM(L27:L31)</f>
        <v>0</v>
      </c>
      <c r="M32" s="348">
        <f>SUM(M27:M31)</f>
        <v>60</v>
      </c>
    </row>
    <row r="33" spans="1:13" ht="15">
      <c r="A33" s="499"/>
      <c r="B33" s="509" t="s">
        <v>71</v>
      </c>
      <c r="C33" s="510"/>
      <c r="D33" s="510"/>
      <c r="E33" s="510"/>
      <c r="F33" s="510"/>
      <c r="G33" s="510"/>
      <c r="H33" s="510"/>
      <c r="I33" s="510"/>
      <c r="J33" s="510"/>
      <c r="K33" s="510"/>
      <c r="L33" s="510"/>
      <c r="M33" s="511"/>
    </row>
    <row r="34" spans="1:13" ht="15">
      <c r="A34" s="499"/>
      <c r="B34" s="18" t="s">
        <v>243</v>
      </c>
      <c r="C34" s="13">
        <v>120</v>
      </c>
      <c r="D34" s="13">
        <v>0</v>
      </c>
      <c r="E34" s="14"/>
      <c r="F34" s="19">
        <f t="shared" si="8"/>
        <v>12</v>
      </c>
      <c r="G34" s="19">
        <f t="shared" si="9"/>
        <v>0</v>
      </c>
      <c r="H34" s="19">
        <f aca="true" t="shared" si="15" ref="H34:H39">IF(D34&gt;0,$H$9,0)</f>
        <v>0</v>
      </c>
      <c r="I34" s="15">
        <f t="shared" si="10"/>
        <v>0</v>
      </c>
      <c r="J34" s="19">
        <f t="shared" si="11"/>
        <v>0</v>
      </c>
      <c r="K34" s="16">
        <f t="shared" si="12"/>
        <v>1440</v>
      </c>
      <c r="L34" s="16">
        <f t="shared" si="13"/>
        <v>0</v>
      </c>
      <c r="M34" s="17">
        <f t="shared" si="14"/>
        <v>1440</v>
      </c>
    </row>
    <row r="35" spans="1:13" ht="15">
      <c r="A35" s="499"/>
      <c r="B35" s="18" t="s">
        <v>56</v>
      </c>
      <c r="C35" s="13">
        <v>0</v>
      </c>
      <c r="D35" s="13">
        <v>0</v>
      </c>
      <c r="E35" s="14"/>
      <c r="F35" s="19">
        <f t="shared" si="8"/>
        <v>0</v>
      </c>
      <c r="G35" s="19">
        <f>IF(D35&gt;0,$G$9,0)</f>
        <v>0</v>
      </c>
      <c r="H35" s="19">
        <f t="shared" si="15"/>
        <v>0</v>
      </c>
      <c r="I35" s="15">
        <f t="shared" si="10"/>
        <v>0</v>
      </c>
      <c r="J35" s="19">
        <f t="shared" si="11"/>
        <v>0</v>
      </c>
      <c r="K35" s="16">
        <f t="shared" si="12"/>
        <v>0</v>
      </c>
      <c r="L35" s="16">
        <f t="shared" si="13"/>
        <v>0</v>
      </c>
      <c r="M35" s="17">
        <f t="shared" si="14"/>
        <v>0</v>
      </c>
    </row>
    <row r="36" spans="1:13" ht="15">
      <c r="A36" s="499"/>
      <c r="B36" s="18" t="s">
        <v>227</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9"/>
      <c r="B37" s="18" t="s">
        <v>99</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9"/>
      <c r="B38" s="18" t="s">
        <v>100</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9"/>
      <c r="B39" s="18" t="s">
        <v>101</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9"/>
      <c r="B40" s="58" t="s">
        <v>33</v>
      </c>
      <c r="C40" s="52"/>
      <c r="D40" s="52"/>
      <c r="E40" s="52"/>
      <c r="F40" s="52"/>
      <c r="G40" s="52"/>
      <c r="H40" s="52"/>
      <c r="I40" s="349"/>
      <c r="J40" s="52"/>
      <c r="K40" s="53">
        <f>SUM(K34:K39)</f>
        <v>1440</v>
      </c>
      <c r="L40" s="53">
        <f>SUM(L34:L39)</f>
        <v>0</v>
      </c>
      <c r="M40" s="348">
        <f>SUM(M34:M39)</f>
        <v>1440</v>
      </c>
    </row>
    <row r="41" spans="1:13" ht="15">
      <c r="A41" s="499"/>
      <c r="B41" s="20" t="s">
        <v>21</v>
      </c>
      <c r="C41" s="21" t="s">
        <v>44</v>
      </c>
      <c r="D41" s="21" t="s">
        <v>45</v>
      </c>
      <c r="E41" s="21"/>
      <c r="F41" s="21" t="s">
        <v>47</v>
      </c>
      <c r="G41" s="21" t="s">
        <v>46</v>
      </c>
      <c r="H41" s="25"/>
      <c r="I41" s="26"/>
      <c r="J41" s="25"/>
      <c r="K41" s="24"/>
      <c r="L41" s="24"/>
      <c r="M41" s="77"/>
    </row>
    <row r="42" spans="1:13" ht="15">
      <c r="A42" s="499"/>
      <c r="B42" s="18" t="s">
        <v>14</v>
      </c>
      <c r="C42" s="13"/>
      <c r="D42" s="13"/>
      <c r="E42" s="24"/>
      <c r="F42" s="13"/>
      <c r="G42" s="13"/>
      <c r="H42" s="25"/>
      <c r="I42" s="26"/>
      <c r="J42" s="25"/>
      <c r="K42" s="16">
        <f aca="true" t="shared" si="16" ref="K42:K47">C42*F42+D42*G42</f>
        <v>0</v>
      </c>
      <c r="L42" s="24"/>
      <c r="M42" s="17">
        <f aca="true" t="shared" si="17" ref="M42:M47">K42+L42</f>
        <v>0</v>
      </c>
    </row>
    <row r="43" spans="1:13" ht="15">
      <c r="A43" s="499"/>
      <c r="B43" s="18" t="s">
        <v>15</v>
      </c>
      <c r="C43" s="13"/>
      <c r="D43" s="13"/>
      <c r="E43" s="24"/>
      <c r="F43" s="13"/>
      <c r="G43" s="13"/>
      <c r="H43" s="25"/>
      <c r="I43" s="26"/>
      <c r="J43" s="25"/>
      <c r="K43" s="16">
        <f t="shared" si="16"/>
        <v>0</v>
      </c>
      <c r="L43" s="24"/>
      <c r="M43" s="17">
        <f t="shared" si="17"/>
        <v>0</v>
      </c>
    </row>
    <row r="44" spans="1:13" ht="15">
      <c r="A44" s="499"/>
      <c r="B44" s="18" t="s">
        <v>16</v>
      </c>
      <c r="C44" s="13"/>
      <c r="D44" s="13"/>
      <c r="E44" s="24"/>
      <c r="F44" s="13"/>
      <c r="G44" s="13"/>
      <c r="H44" s="25"/>
      <c r="I44" s="26"/>
      <c r="J44" s="25"/>
      <c r="K44" s="16">
        <f t="shared" si="16"/>
        <v>0</v>
      </c>
      <c r="L44" s="24"/>
      <c r="M44" s="17">
        <f t="shared" si="17"/>
        <v>0</v>
      </c>
    </row>
    <row r="45" spans="1:13" ht="15">
      <c r="A45" s="499"/>
      <c r="B45" s="18"/>
      <c r="C45" s="13"/>
      <c r="D45" s="13"/>
      <c r="E45" s="24"/>
      <c r="F45" s="13"/>
      <c r="G45" s="13"/>
      <c r="H45" s="25"/>
      <c r="I45" s="26"/>
      <c r="J45" s="25"/>
      <c r="K45" s="16">
        <f t="shared" si="16"/>
        <v>0</v>
      </c>
      <c r="L45" s="24"/>
      <c r="M45" s="17">
        <f t="shared" si="17"/>
        <v>0</v>
      </c>
    </row>
    <row r="46" spans="1:13" ht="15">
      <c r="A46" s="499"/>
      <c r="B46" s="18"/>
      <c r="C46" s="13"/>
      <c r="D46" s="13"/>
      <c r="E46" s="24"/>
      <c r="F46" s="13"/>
      <c r="G46" s="13"/>
      <c r="H46" s="25"/>
      <c r="I46" s="26"/>
      <c r="J46" s="25"/>
      <c r="K46" s="16">
        <f t="shared" si="16"/>
        <v>0</v>
      </c>
      <c r="L46" s="24"/>
      <c r="M46" s="17">
        <f t="shared" si="17"/>
        <v>0</v>
      </c>
    </row>
    <row r="47" spans="1:13" ht="15">
      <c r="A47" s="499"/>
      <c r="B47" s="18"/>
      <c r="C47" s="13"/>
      <c r="D47" s="13"/>
      <c r="E47" s="24"/>
      <c r="F47" s="13"/>
      <c r="G47" s="13"/>
      <c r="H47" s="25"/>
      <c r="I47" s="26"/>
      <c r="J47" s="25"/>
      <c r="K47" s="16">
        <f t="shared" si="16"/>
        <v>0</v>
      </c>
      <c r="L47" s="24"/>
      <c r="M47" s="17">
        <f t="shared" si="17"/>
        <v>0</v>
      </c>
    </row>
    <row r="48" spans="1:13" ht="15.75" thickBot="1">
      <c r="A48" s="499"/>
      <c r="B48" s="58" t="s">
        <v>33</v>
      </c>
      <c r="C48" s="52"/>
      <c r="D48" s="52"/>
      <c r="E48" s="53"/>
      <c r="F48" s="69"/>
      <c r="G48" s="69"/>
      <c r="H48" s="69"/>
      <c r="I48" s="70"/>
      <c r="J48" s="69"/>
      <c r="K48" s="53">
        <f>SUM(K42:K47)</f>
        <v>0</v>
      </c>
      <c r="L48" s="53"/>
      <c r="M48" s="348">
        <f>SUM(M42:M47)</f>
        <v>0</v>
      </c>
    </row>
    <row r="49" spans="1:13" ht="15.75" thickBot="1">
      <c r="A49" s="499"/>
      <c r="B49" s="59" t="s">
        <v>149</v>
      </c>
      <c r="C49" s="60"/>
      <c r="D49" s="60"/>
      <c r="E49" s="61"/>
      <c r="F49" s="62"/>
      <c r="G49" s="62"/>
      <c r="H49" s="62"/>
      <c r="I49" s="63"/>
      <c r="J49" s="62"/>
      <c r="K49" s="61"/>
      <c r="L49" s="350">
        <f>SUM(L12,L25,L16,L32,L40)</f>
        <v>10.347618558214318</v>
      </c>
      <c r="M49" s="351"/>
    </row>
    <row r="50" spans="1:13" ht="15.75" thickBot="1">
      <c r="A50" s="499"/>
      <c r="B50" s="64" t="s">
        <v>150</v>
      </c>
      <c r="C50" s="65"/>
      <c r="D50" s="65"/>
      <c r="E50" s="65"/>
      <c r="F50" s="65"/>
      <c r="G50" s="65"/>
      <c r="H50" s="65"/>
      <c r="I50" s="65"/>
      <c r="J50" s="65"/>
      <c r="K50" s="352">
        <f>SUM(K12,K16,K25,K32,K40,K48)</f>
        <v>1834.5</v>
      </c>
      <c r="L50" s="66"/>
      <c r="M50" s="67"/>
    </row>
    <row r="51" spans="1:13" ht="15.75" thickBot="1">
      <c r="A51" s="499"/>
      <c r="B51" s="54" t="s">
        <v>151</v>
      </c>
      <c r="C51" s="68"/>
      <c r="D51" s="68"/>
      <c r="E51" s="68"/>
      <c r="F51" s="68"/>
      <c r="G51" s="68"/>
      <c r="H51" s="68"/>
      <c r="I51" s="68"/>
      <c r="J51" s="68"/>
      <c r="K51" s="68"/>
      <c r="L51" s="68"/>
      <c r="M51" s="353">
        <f>SUM(M12,M16,M32,M25,M40,M48)</f>
        <v>1844.8476185582144</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19">
      <selection activeCell="K47" sqref="K47"/>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6" t="str">
        <f>'Fixed Costs &amp; Overhead Charges'!B2:O2</f>
        <v>Kale Enterprise Budget, 0.1 Acre, Southwest British Columbia, Canada </v>
      </c>
      <c r="C2" s="477"/>
      <c r="D2" s="477"/>
      <c r="E2" s="477"/>
      <c r="F2" s="477"/>
      <c r="G2" s="477"/>
      <c r="H2" s="477"/>
      <c r="I2" s="477"/>
      <c r="J2" s="477"/>
      <c r="K2" s="477"/>
      <c r="L2" s="478"/>
    </row>
    <row r="3" spans="2:12" ht="19.5" thickBot="1">
      <c r="B3" s="517" t="s">
        <v>143</v>
      </c>
      <c r="C3" s="518"/>
      <c r="D3" s="518"/>
      <c r="E3" s="518"/>
      <c r="F3" s="518"/>
      <c r="G3" s="518"/>
      <c r="H3" s="518"/>
      <c r="I3" s="518"/>
      <c r="J3" s="518"/>
      <c r="K3" s="518"/>
      <c r="L3" s="519"/>
    </row>
    <row r="4" spans="2:12" ht="32.25" customHeight="1" thickBot="1">
      <c r="B4" s="392"/>
      <c r="C4" s="520" t="s">
        <v>66</v>
      </c>
      <c r="D4" s="521"/>
      <c r="E4" s="522"/>
      <c r="F4" s="520" t="s">
        <v>67</v>
      </c>
      <c r="G4" s="521"/>
      <c r="H4" s="522"/>
      <c r="I4" s="523" t="s">
        <v>144</v>
      </c>
      <c r="J4" s="524"/>
      <c r="K4" s="525"/>
      <c r="L4" s="393" t="s">
        <v>70</v>
      </c>
    </row>
    <row r="5" spans="1:12" ht="15.75" thickBot="1">
      <c r="A5" s="29"/>
      <c r="B5" s="394" t="s">
        <v>60</v>
      </c>
      <c r="C5" s="395" t="s">
        <v>68</v>
      </c>
      <c r="D5" s="396" t="s">
        <v>62</v>
      </c>
      <c r="E5" s="397" t="s">
        <v>33</v>
      </c>
      <c r="F5" s="395" t="s">
        <v>68</v>
      </c>
      <c r="G5" s="396" t="s">
        <v>62</v>
      </c>
      <c r="H5" s="397" t="s">
        <v>33</v>
      </c>
      <c r="I5" s="396" t="s">
        <v>63</v>
      </c>
      <c r="J5" s="396" t="s">
        <v>69</v>
      </c>
      <c r="K5" s="397" t="s">
        <v>33</v>
      </c>
      <c r="L5" s="398" t="s">
        <v>65</v>
      </c>
    </row>
    <row r="6" spans="2:12" ht="15">
      <c r="B6" s="30" t="s">
        <v>51</v>
      </c>
      <c r="C6" s="367">
        <v>200</v>
      </c>
      <c r="D6" s="368">
        <v>40</v>
      </c>
      <c r="E6" s="404">
        <f>C6*D6</f>
        <v>8000</v>
      </c>
      <c r="F6" s="367">
        <v>200</v>
      </c>
      <c r="G6" s="368">
        <v>8</v>
      </c>
      <c r="H6" s="404">
        <f>F6*G6</f>
        <v>1600</v>
      </c>
      <c r="I6" s="367">
        <v>0</v>
      </c>
      <c r="J6" s="368">
        <v>0</v>
      </c>
      <c r="K6" s="404">
        <f>I6*J6</f>
        <v>0</v>
      </c>
      <c r="L6" s="409">
        <f aca="true" t="shared" si="0" ref="L6:L20">SUM(E6+H6+K6)</f>
        <v>9600</v>
      </c>
    </row>
    <row r="7" spans="2:12" ht="15">
      <c r="B7" s="31" t="s">
        <v>49</v>
      </c>
      <c r="C7" s="369">
        <v>31.25</v>
      </c>
      <c r="D7" s="13">
        <v>40</v>
      </c>
      <c r="E7" s="17">
        <f aca="true" t="shared" si="1" ref="E7:E20">C7*D7</f>
        <v>1250</v>
      </c>
      <c r="F7" s="369">
        <v>31.25</v>
      </c>
      <c r="G7" s="13">
        <v>8</v>
      </c>
      <c r="H7" s="17">
        <f aca="true" t="shared" si="2" ref="H7:H17">F7*G7</f>
        <v>250</v>
      </c>
      <c r="I7" s="369">
        <v>0</v>
      </c>
      <c r="J7" s="13">
        <v>0</v>
      </c>
      <c r="K7" s="17">
        <f aca="true" t="shared" si="3" ref="K7:K20">I7*J7</f>
        <v>0</v>
      </c>
      <c r="L7" s="410">
        <f t="shared" si="0"/>
        <v>1500</v>
      </c>
    </row>
    <row r="8" spans="2:12" ht="15">
      <c r="B8" s="31" t="s">
        <v>114</v>
      </c>
      <c r="C8" s="369">
        <v>73</v>
      </c>
      <c r="D8" s="13">
        <v>40</v>
      </c>
      <c r="E8" s="17">
        <f t="shared" si="1"/>
        <v>2920</v>
      </c>
      <c r="F8" s="369">
        <v>73</v>
      </c>
      <c r="G8" s="13">
        <v>8</v>
      </c>
      <c r="H8" s="17">
        <f t="shared" si="2"/>
        <v>584</v>
      </c>
      <c r="I8" s="369">
        <v>0</v>
      </c>
      <c r="J8" s="13">
        <v>0</v>
      </c>
      <c r="K8" s="17">
        <f t="shared" si="3"/>
        <v>0</v>
      </c>
      <c r="L8" s="410">
        <f t="shared" si="0"/>
        <v>3504</v>
      </c>
    </row>
    <row r="9" spans="2:12" ht="15">
      <c r="B9" s="31" t="s">
        <v>52</v>
      </c>
      <c r="C9" s="369">
        <v>0</v>
      </c>
      <c r="D9" s="13">
        <v>40</v>
      </c>
      <c r="E9" s="17">
        <f t="shared" si="1"/>
        <v>0</v>
      </c>
      <c r="F9" s="369">
        <v>0</v>
      </c>
      <c r="G9" s="13">
        <v>8</v>
      </c>
      <c r="H9" s="17">
        <f t="shared" si="2"/>
        <v>0</v>
      </c>
      <c r="I9" s="369">
        <v>0</v>
      </c>
      <c r="J9" s="13">
        <v>0</v>
      </c>
      <c r="K9" s="17">
        <f t="shared" si="3"/>
        <v>0</v>
      </c>
      <c r="L9" s="410">
        <f t="shared" si="0"/>
        <v>0</v>
      </c>
    </row>
    <row r="10" spans="2:12" ht="15">
      <c r="B10" s="31" t="s">
        <v>50</v>
      </c>
      <c r="C10" s="369">
        <v>0</v>
      </c>
      <c r="D10" s="13">
        <v>40</v>
      </c>
      <c r="E10" s="17">
        <f t="shared" si="1"/>
        <v>0</v>
      </c>
      <c r="F10" s="369">
        <v>0</v>
      </c>
      <c r="G10" s="13">
        <v>8</v>
      </c>
      <c r="H10" s="17">
        <f t="shared" si="2"/>
        <v>0</v>
      </c>
      <c r="I10" s="369">
        <v>0</v>
      </c>
      <c r="J10" s="13">
        <v>0</v>
      </c>
      <c r="K10" s="17">
        <f t="shared" si="3"/>
        <v>0</v>
      </c>
      <c r="L10" s="410">
        <f t="shared" si="0"/>
        <v>0</v>
      </c>
    </row>
    <row r="11" spans="2:12" ht="15">
      <c r="B11" s="31"/>
      <c r="C11" s="369">
        <v>0</v>
      </c>
      <c r="D11" s="13">
        <v>40</v>
      </c>
      <c r="E11" s="17">
        <f t="shared" si="1"/>
        <v>0</v>
      </c>
      <c r="F11" s="369">
        <v>0</v>
      </c>
      <c r="G11" s="13">
        <v>8</v>
      </c>
      <c r="H11" s="17">
        <f t="shared" si="2"/>
        <v>0</v>
      </c>
      <c r="I11" s="369">
        <v>0</v>
      </c>
      <c r="J11" s="13">
        <v>0</v>
      </c>
      <c r="K11" s="17">
        <f t="shared" si="3"/>
        <v>0</v>
      </c>
      <c r="L11" s="410">
        <f t="shared" si="0"/>
        <v>0</v>
      </c>
    </row>
    <row r="12" spans="2:12" ht="15">
      <c r="B12" s="7"/>
      <c r="C12" s="369">
        <v>0</v>
      </c>
      <c r="D12" s="13">
        <v>40</v>
      </c>
      <c r="E12" s="17">
        <f t="shared" si="1"/>
        <v>0</v>
      </c>
      <c r="F12" s="369">
        <v>0</v>
      </c>
      <c r="G12" s="13">
        <v>8</v>
      </c>
      <c r="H12" s="17">
        <f t="shared" si="2"/>
        <v>0</v>
      </c>
      <c r="I12" s="369">
        <v>0</v>
      </c>
      <c r="J12" s="13">
        <v>0</v>
      </c>
      <c r="K12" s="17">
        <f t="shared" si="3"/>
        <v>0</v>
      </c>
      <c r="L12" s="410">
        <f t="shared" si="0"/>
        <v>0</v>
      </c>
    </row>
    <row r="13" spans="2:12" ht="15">
      <c r="B13" s="7"/>
      <c r="C13" s="369">
        <v>0</v>
      </c>
      <c r="D13" s="13">
        <v>40</v>
      </c>
      <c r="E13" s="17">
        <f t="shared" si="1"/>
        <v>0</v>
      </c>
      <c r="F13" s="369">
        <v>0</v>
      </c>
      <c r="G13" s="13">
        <v>8</v>
      </c>
      <c r="H13" s="17">
        <f t="shared" si="2"/>
        <v>0</v>
      </c>
      <c r="I13" s="369">
        <v>0</v>
      </c>
      <c r="J13" s="13">
        <v>0</v>
      </c>
      <c r="K13" s="17">
        <f t="shared" si="3"/>
        <v>0</v>
      </c>
      <c r="L13" s="410">
        <f t="shared" si="0"/>
        <v>0</v>
      </c>
    </row>
    <row r="14" spans="2:12" ht="15">
      <c r="B14" s="7"/>
      <c r="C14" s="369">
        <v>0</v>
      </c>
      <c r="D14" s="13">
        <v>40</v>
      </c>
      <c r="E14" s="17">
        <f t="shared" si="1"/>
        <v>0</v>
      </c>
      <c r="F14" s="369">
        <v>0</v>
      </c>
      <c r="G14" s="13">
        <v>8</v>
      </c>
      <c r="H14" s="17">
        <f t="shared" si="2"/>
        <v>0</v>
      </c>
      <c r="I14" s="369">
        <v>0</v>
      </c>
      <c r="J14" s="13">
        <v>0</v>
      </c>
      <c r="K14" s="17">
        <f t="shared" si="3"/>
        <v>0</v>
      </c>
      <c r="L14" s="410">
        <f t="shared" si="0"/>
        <v>0</v>
      </c>
    </row>
    <row r="15" spans="2:12" ht="15">
      <c r="B15" s="7"/>
      <c r="C15" s="369">
        <v>0</v>
      </c>
      <c r="D15" s="13">
        <v>40</v>
      </c>
      <c r="E15" s="17">
        <f t="shared" si="1"/>
        <v>0</v>
      </c>
      <c r="F15" s="369">
        <v>0</v>
      </c>
      <c r="G15" s="13">
        <v>8</v>
      </c>
      <c r="H15" s="17">
        <f t="shared" si="2"/>
        <v>0</v>
      </c>
      <c r="I15" s="369">
        <v>0</v>
      </c>
      <c r="J15" s="13">
        <v>0</v>
      </c>
      <c r="K15" s="17">
        <f t="shared" si="3"/>
        <v>0</v>
      </c>
      <c r="L15" s="410">
        <f t="shared" si="0"/>
        <v>0</v>
      </c>
    </row>
    <row r="16" spans="2:12" ht="15">
      <c r="B16" s="7"/>
      <c r="C16" s="369">
        <v>0</v>
      </c>
      <c r="D16" s="13">
        <v>40</v>
      </c>
      <c r="E16" s="17">
        <f t="shared" si="1"/>
        <v>0</v>
      </c>
      <c r="F16" s="369">
        <v>0</v>
      </c>
      <c r="G16" s="13">
        <v>8</v>
      </c>
      <c r="H16" s="17">
        <f t="shared" si="2"/>
        <v>0</v>
      </c>
      <c r="I16" s="369">
        <v>0</v>
      </c>
      <c r="J16" s="13">
        <v>0</v>
      </c>
      <c r="K16" s="17">
        <f t="shared" si="3"/>
        <v>0</v>
      </c>
      <c r="L16" s="410">
        <f t="shared" si="0"/>
        <v>0</v>
      </c>
    </row>
    <row r="17" spans="2:12" ht="15">
      <c r="B17" s="7"/>
      <c r="C17" s="369">
        <v>0</v>
      </c>
      <c r="D17" s="13">
        <v>40</v>
      </c>
      <c r="E17" s="17">
        <f t="shared" si="1"/>
        <v>0</v>
      </c>
      <c r="F17" s="369">
        <v>0</v>
      </c>
      <c r="G17" s="13">
        <v>8</v>
      </c>
      <c r="H17" s="17">
        <f t="shared" si="2"/>
        <v>0</v>
      </c>
      <c r="I17" s="369">
        <v>0</v>
      </c>
      <c r="J17" s="13">
        <v>0</v>
      </c>
      <c r="K17" s="17">
        <f t="shared" si="3"/>
        <v>0</v>
      </c>
      <c r="L17" s="410">
        <f t="shared" si="0"/>
        <v>0</v>
      </c>
    </row>
    <row r="18" spans="2:12" ht="15.75" thickBot="1">
      <c r="B18" s="370" t="s">
        <v>33</v>
      </c>
      <c r="C18" s="399">
        <f>SUM(C6:C17)</f>
        <v>304.25</v>
      </c>
      <c r="D18" s="400"/>
      <c r="E18" s="405">
        <f>SUM(E6:E17)</f>
        <v>12170</v>
      </c>
      <c r="F18" s="399">
        <f>SUM(F6:F17)</f>
        <v>304.25</v>
      </c>
      <c r="G18" s="400"/>
      <c r="H18" s="405">
        <f>SUM(H6:H17)</f>
        <v>2434</v>
      </c>
      <c r="I18" s="399">
        <f>SUM(I6:I17)</f>
        <v>0</v>
      </c>
      <c r="J18" s="400"/>
      <c r="K18" s="405">
        <f>SUM(K6:K17)</f>
        <v>0</v>
      </c>
      <c r="L18" s="411">
        <f>SUM(E18+H18+K18)</f>
        <v>14604</v>
      </c>
    </row>
    <row r="19" spans="2:12" ht="15">
      <c r="B19" s="7" t="str">
        <f>"Average annual sales of "&amp;'Fixed Costs &amp; Overhead Charges'!C5</f>
        <v>Average annual sales of Kale</v>
      </c>
      <c r="C19" s="371">
        <f>L41</f>
        <v>7200</v>
      </c>
      <c r="D19" s="372">
        <v>40</v>
      </c>
      <c r="E19" s="406">
        <f>C19*D19</f>
        <v>288000</v>
      </c>
      <c r="F19" s="373">
        <v>100</v>
      </c>
      <c r="G19" s="372">
        <v>8</v>
      </c>
      <c r="H19" s="406">
        <f>F19*G19</f>
        <v>800</v>
      </c>
      <c r="I19" s="373">
        <v>0</v>
      </c>
      <c r="J19" s="372">
        <v>0</v>
      </c>
      <c r="K19" s="406">
        <f t="shared" si="3"/>
        <v>0</v>
      </c>
      <c r="L19" s="412">
        <f t="shared" si="0"/>
        <v>288800</v>
      </c>
    </row>
    <row r="20" spans="2:12" ht="15">
      <c r="B20" s="7" t="s">
        <v>64</v>
      </c>
      <c r="C20" s="369">
        <f>L49</f>
        <v>165885</v>
      </c>
      <c r="D20" s="13">
        <v>40</v>
      </c>
      <c r="E20" s="17">
        <f t="shared" si="1"/>
        <v>6635400</v>
      </c>
      <c r="F20" s="374">
        <v>4000</v>
      </c>
      <c r="G20" s="13">
        <v>8</v>
      </c>
      <c r="H20" s="17">
        <f>F20*G20</f>
        <v>32000</v>
      </c>
      <c r="I20" s="374">
        <v>0</v>
      </c>
      <c r="J20" s="13">
        <v>0</v>
      </c>
      <c r="K20" s="17">
        <f t="shared" si="3"/>
        <v>0</v>
      </c>
      <c r="L20" s="410">
        <f t="shared" si="0"/>
        <v>6667400</v>
      </c>
    </row>
    <row r="21" spans="2:12" ht="15">
      <c r="B21" s="7" t="str">
        <f>'Fixed Costs &amp; Overhead Charges'!C5&amp;" sales as a % of total sales"</f>
        <v>Kale sales as a % of total sales</v>
      </c>
      <c r="C21" s="401">
        <f>IF(C20&gt;0,C19/C20,0)</f>
        <v>0.043403562709105704</v>
      </c>
      <c r="D21" s="19"/>
      <c r="E21" s="407">
        <f>IF(E20&gt;0,E19/E20,0)</f>
        <v>0.043403562709105704</v>
      </c>
      <c r="F21" s="401">
        <f>IF(F20&gt;0,F19/F20,0)</f>
        <v>0.025</v>
      </c>
      <c r="G21" s="19"/>
      <c r="H21" s="408">
        <f>H19/H20</f>
        <v>0.025</v>
      </c>
      <c r="I21" s="401">
        <f>IF(I20&gt;0,I19/I20,0)</f>
        <v>0</v>
      </c>
      <c r="J21" s="19"/>
      <c r="K21" s="407">
        <f>IF(K20&gt;0,K19/K20,0)</f>
        <v>0</v>
      </c>
      <c r="L21" s="413">
        <f>IF(L20&gt;0,L19/L20,0)</f>
        <v>0.04331523532411435</v>
      </c>
    </row>
    <row r="22" spans="2:12" ht="15.75" thickBot="1">
      <c r="B22" s="402" t="str">
        <f>'Fixed Costs &amp; Overhead Charges'!C5&amp;" marketing cost"</f>
        <v>Kale marketing cost</v>
      </c>
      <c r="C22" s="337"/>
      <c r="D22" s="403"/>
      <c r="E22" s="50">
        <f>E21*E18</f>
        <v>528.2213581698164</v>
      </c>
      <c r="F22" s="337"/>
      <c r="G22" s="403"/>
      <c r="H22" s="50">
        <f>H21*H18</f>
        <v>60.85</v>
      </c>
      <c r="I22" s="337"/>
      <c r="J22" s="403"/>
      <c r="K22" s="50">
        <f>K21*K18</f>
        <v>0</v>
      </c>
      <c r="L22" s="411">
        <f>L21*L18</f>
        <v>632.5756966733659</v>
      </c>
    </row>
    <row r="23" ht="15"/>
    <row r="24" ht="15"/>
    <row r="25" ht="15.75" thickBot="1"/>
    <row r="26" spans="2:13" ht="19.5" thickBot="1">
      <c r="B26" s="526" t="s">
        <v>211</v>
      </c>
      <c r="C26" s="527"/>
      <c r="D26" s="527"/>
      <c r="E26" s="527"/>
      <c r="F26" s="527"/>
      <c r="G26" s="527"/>
      <c r="H26" s="477"/>
      <c r="I26" s="477"/>
      <c r="J26" s="477"/>
      <c r="K26" s="477"/>
      <c r="L26" s="477"/>
      <c r="M26" s="478"/>
    </row>
    <row r="27" spans="2:13" ht="15.75" thickBot="1">
      <c r="B27" s="512" t="s">
        <v>203</v>
      </c>
      <c r="C27" s="513"/>
      <c r="D27" s="514" t="s">
        <v>24</v>
      </c>
      <c r="E27" s="515"/>
      <c r="F27" s="515"/>
      <c r="G27" s="516"/>
      <c r="H27" s="515" t="s">
        <v>202</v>
      </c>
      <c r="I27" s="515"/>
      <c r="J27" s="515"/>
      <c r="K27" s="397"/>
      <c r="L27" s="514" t="s">
        <v>201</v>
      </c>
      <c r="M27" s="516"/>
    </row>
    <row r="28" spans="2:13" ht="15">
      <c r="B28" s="414" t="s">
        <v>162</v>
      </c>
      <c r="C28" s="415" t="s">
        <v>204</v>
      </c>
      <c r="D28" s="416" t="s">
        <v>17</v>
      </c>
      <c r="E28" s="417" t="s">
        <v>205</v>
      </c>
      <c r="F28" s="417" t="s">
        <v>206</v>
      </c>
      <c r="G28" s="415" t="s">
        <v>207</v>
      </c>
      <c r="H28" s="418" t="s">
        <v>17</v>
      </c>
      <c r="I28" s="419" t="s">
        <v>205</v>
      </c>
      <c r="J28" s="419" t="s">
        <v>206</v>
      </c>
      <c r="K28" s="420" t="s">
        <v>207</v>
      </c>
      <c r="L28" s="417" t="s">
        <v>163</v>
      </c>
      <c r="M28" s="415" t="s">
        <v>164</v>
      </c>
    </row>
    <row r="29" spans="1:13" ht="15">
      <c r="A29" s="3">
        <v>1</v>
      </c>
      <c r="B29" s="18" t="s">
        <v>165</v>
      </c>
      <c r="C29" s="119">
        <v>0.5</v>
      </c>
      <c r="D29" s="18" t="s">
        <v>166</v>
      </c>
      <c r="E29" s="10">
        <v>3.75</v>
      </c>
      <c r="F29" s="10">
        <v>2</v>
      </c>
      <c r="G29" s="375">
        <v>2.5</v>
      </c>
      <c r="H29" s="18" t="s">
        <v>167</v>
      </c>
      <c r="I29" s="376">
        <v>10000</v>
      </c>
      <c r="J29" s="376">
        <v>5000</v>
      </c>
      <c r="K29" s="377">
        <v>8000</v>
      </c>
      <c r="L29" s="421">
        <f aca="true" t="shared" si="4" ref="L29:L48">G29*K29</f>
        <v>20000</v>
      </c>
      <c r="M29" s="378">
        <f aca="true" t="shared" si="5" ref="M29:M48">L29/$L$49</f>
        <v>0.12056545196973807</v>
      </c>
    </row>
    <row r="30" spans="1:13" ht="15">
      <c r="A30" s="3">
        <v>2</v>
      </c>
      <c r="B30" s="379" t="s">
        <v>168</v>
      </c>
      <c r="C30" s="380">
        <v>1</v>
      </c>
      <c r="D30" s="379" t="s">
        <v>166</v>
      </c>
      <c r="E30" s="381">
        <v>3.75</v>
      </c>
      <c r="F30" s="381">
        <v>1.5</v>
      </c>
      <c r="G30" s="382">
        <v>2</v>
      </c>
      <c r="H30" s="379" t="s">
        <v>167</v>
      </c>
      <c r="I30" s="383">
        <v>10000</v>
      </c>
      <c r="J30" s="383">
        <v>6000</v>
      </c>
      <c r="K30" s="384">
        <v>10000</v>
      </c>
      <c r="L30" s="422">
        <f t="shared" si="4"/>
        <v>20000</v>
      </c>
      <c r="M30" s="385">
        <f t="shared" si="5"/>
        <v>0.12056545196973807</v>
      </c>
    </row>
    <row r="31" spans="1:13" ht="15">
      <c r="A31" s="3">
        <v>3</v>
      </c>
      <c r="B31" s="379" t="s">
        <v>169</v>
      </c>
      <c r="C31" s="380">
        <v>0.5</v>
      </c>
      <c r="D31" s="379" t="s">
        <v>166</v>
      </c>
      <c r="E31" s="381">
        <v>3</v>
      </c>
      <c r="F31" s="381">
        <v>1.5</v>
      </c>
      <c r="G31" s="382">
        <v>2.5</v>
      </c>
      <c r="H31" s="379" t="s">
        <v>167</v>
      </c>
      <c r="I31" s="383">
        <v>8000</v>
      </c>
      <c r="J31" s="383">
        <v>6000</v>
      </c>
      <c r="K31" s="384">
        <v>7000</v>
      </c>
      <c r="L31" s="422">
        <f t="shared" si="4"/>
        <v>17500</v>
      </c>
      <c r="M31" s="385">
        <f t="shared" si="5"/>
        <v>0.10549477047352081</v>
      </c>
    </row>
    <row r="32" spans="1:13" ht="15">
      <c r="A32" s="3">
        <v>4</v>
      </c>
      <c r="B32" s="379" t="s">
        <v>170</v>
      </c>
      <c r="C32" s="386">
        <v>0.125</v>
      </c>
      <c r="D32" s="379" t="s">
        <v>166</v>
      </c>
      <c r="E32" s="381">
        <v>3</v>
      </c>
      <c r="F32" s="381">
        <v>1.5</v>
      </c>
      <c r="G32" s="382">
        <v>2.5</v>
      </c>
      <c r="H32" s="379" t="s">
        <v>167</v>
      </c>
      <c r="I32" s="383">
        <v>2000</v>
      </c>
      <c r="J32" s="383">
        <v>1500</v>
      </c>
      <c r="K32" s="384">
        <v>1750</v>
      </c>
      <c r="L32" s="422">
        <f t="shared" si="4"/>
        <v>4375</v>
      </c>
      <c r="M32" s="385">
        <f t="shared" si="5"/>
        <v>0.026373692618380202</v>
      </c>
    </row>
    <row r="33" spans="1:13" ht="15">
      <c r="A33" s="3">
        <v>5</v>
      </c>
      <c r="B33" s="379" t="s">
        <v>171</v>
      </c>
      <c r="C33" s="386">
        <v>0.07</v>
      </c>
      <c r="D33" s="379" t="s">
        <v>166</v>
      </c>
      <c r="E33" s="381">
        <v>4</v>
      </c>
      <c r="F33" s="381">
        <v>2.5</v>
      </c>
      <c r="G33" s="382">
        <v>3</v>
      </c>
      <c r="H33" s="379" t="s">
        <v>167</v>
      </c>
      <c r="I33" s="383">
        <v>4000</v>
      </c>
      <c r="J33" s="383">
        <v>3000</v>
      </c>
      <c r="K33" s="384">
        <v>3750</v>
      </c>
      <c r="L33" s="422">
        <f t="shared" si="4"/>
        <v>11250</v>
      </c>
      <c r="M33" s="385">
        <f t="shared" si="5"/>
        <v>0.06781806673297766</v>
      </c>
    </row>
    <row r="34" spans="1:13" ht="15">
      <c r="A34" s="3">
        <v>6</v>
      </c>
      <c r="B34" s="379" t="s">
        <v>172</v>
      </c>
      <c r="C34" s="386">
        <v>0.06</v>
      </c>
      <c r="D34" s="379" t="s">
        <v>166</v>
      </c>
      <c r="E34" s="381">
        <v>6</v>
      </c>
      <c r="F34" s="381">
        <v>3</v>
      </c>
      <c r="G34" s="382">
        <v>4.5</v>
      </c>
      <c r="H34" s="379" t="s">
        <v>167</v>
      </c>
      <c r="I34" s="383">
        <v>2000</v>
      </c>
      <c r="J34" s="383">
        <v>1000</v>
      </c>
      <c r="K34" s="384">
        <v>1500</v>
      </c>
      <c r="L34" s="422">
        <f t="shared" si="4"/>
        <v>6750</v>
      </c>
      <c r="M34" s="385">
        <f t="shared" si="5"/>
        <v>0.0406908400397866</v>
      </c>
    </row>
    <row r="35" spans="1:13" ht="15">
      <c r="A35" s="3">
        <v>7</v>
      </c>
      <c r="B35" s="379" t="s">
        <v>173</v>
      </c>
      <c r="C35" s="386">
        <v>0.06</v>
      </c>
      <c r="D35" s="379" t="s">
        <v>166</v>
      </c>
      <c r="E35" s="381">
        <v>3</v>
      </c>
      <c r="F35" s="381">
        <v>1.5</v>
      </c>
      <c r="G35" s="382">
        <v>2</v>
      </c>
      <c r="H35" s="379" t="s">
        <v>167</v>
      </c>
      <c r="I35" s="383">
        <v>2000</v>
      </c>
      <c r="J35" s="383">
        <v>1000</v>
      </c>
      <c r="K35" s="384">
        <v>1500</v>
      </c>
      <c r="L35" s="422">
        <f t="shared" si="4"/>
        <v>3000</v>
      </c>
      <c r="M35" s="385">
        <f t="shared" si="5"/>
        <v>0.01808481779546071</v>
      </c>
    </row>
    <row r="36" spans="1:13" ht="15">
      <c r="A36" s="3">
        <v>8</v>
      </c>
      <c r="B36" s="379" t="s">
        <v>174</v>
      </c>
      <c r="C36" s="386">
        <v>0.06</v>
      </c>
      <c r="D36" s="379" t="s">
        <v>166</v>
      </c>
      <c r="E36" s="381">
        <v>14</v>
      </c>
      <c r="F36" s="381">
        <v>10</v>
      </c>
      <c r="G36" s="382">
        <v>12</v>
      </c>
      <c r="H36" s="379" t="s">
        <v>167</v>
      </c>
      <c r="I36" s="383">
        <v>800</v>
      </c>
      <c r="J36" s="383">
        <v>450</v>
      </c>
      <c r="K36" s="384">
        <v>650</v>
      </c>
      <c r="L36" s="422">
        <f t="shared" si="4"/>
        <v>7800</v>
      </c>
      <c r="M36" s="385">
        <f t="shared" si="5"/>
        <v>0.047020526268197846</v>
      </c>
    </row>
    <row r="37" spans="1:13" ht="15">
      <c r="A37" s="3">
        <v>9</v>
      </c>
      <c r="B37" s="379" t="s">
        <v>175</v>
      </c>
      <c r="C37" s="380">
        <v>0.025</v>
      </c>
      <c r="D37" s="379" t="s">
        <v>166</v>
      </c>
      <c r="E37" s="381">
        <v>3</v>
      </c>
      <c r="F37" s="381">
        <v>2</v>
      </c>
      <c r="G37" s="382">
        <v>2.5</v>
      </c>
      <c r="H37" s="379" t="s">
        <v>178</v>
      </c>
      <c r="I37" s="383">
        <v>1080</v>
      </c>
      <c r="J37" s="383">
        <v>540</v>
      </c>
      <c r="K37" s="384">
        <v>810</v>
      </c>
      <c r="L37" s="422">
        <f t="shared" si="4"/>
        <v>2025</v>
      </c>
      <c r="M37" s="385">
        <f t="shared" si="5"/>
        <v>0.01220725201193598</v>
      </c>
    </row>
    <row r="38" spans="1:13" ht="15">
      <c r="A38" s="3">
        <v>10</v>
      </c>
      <c r="B38" s="379" t="s">
        <v>177</v>
      </c>
      <c r="C38" s="380">
        <v>0.05</v>
      </c>
      <c r="D38" s="379" t="s">
        <v>166</v>
      </c>
      <c r="E38" s="381">
        <v>3.5</v>
      </c>
      <c r="F38" s="381">
        <v>2</v>
      </c>
      <c r="G38" s="382">
        <v>3</v>
      </c>
      <c r="H38" s="379" t="s">
        <v>178</v>
      </c>
      <c r="I38" s="383">
        <v>2000</v>
      </c>
      <c r="J38" s="383">
        <v>1000</v>
      </c>
      <c r="K38" s="384">
        <v>1600</v>
      </c>
      <c r="L38" s="422">
        <f t="shared" si="4"/>
        <v>4800</v>
      </c>
      <c r="M38" s="385">
        <f t="shared" si="5"/>
        <v>0.02893570847273714</v>
      </c>
    </row>
    <row r="39" spans="1:13" ht="15">
      <c r="A39" s="3">
        <v>11</v>
      </c>
      <c r="B39" s="379" t="s">
        <v>179</v>
      </c>
      <c r="C39" s="380">
        <v>0.05</v>
      </c>
      <c r="D39" s="379" t="s">
        <v>166</v>
      </c>
      <c r="E39" s="381">
        <v>3.5</v>
      </c>
      <c r="F39" s="381">
        <v>2</v>
      </c>
      <c r="G39" s="382">
        <v>3</v>
      </c>
      <c r="H39" s="379" t="s">
        <v>176</v>
      </c>
      <c r="I39" s="383">
        <v>2800</v>
      </c>
      <c r="J39" s="383">
        <v>1440</v>
      </c>
      <c r="K39" s="384">
        <v>2160</v>
      </c>
      <c r="L39" s="422">
        <f t="shared" si="4"/>
        <v>6480</v>
      </c>
      <c r="M39" s="385">
        <f t="shared" si="5"/>
        <v>0.039063206438195136</v>
      </c>
    </row>
    <row r="40" spans="1:13" ht="15">
      <c r="A40" s="3">
        <v>12</v>
      </c>
      <c r="B40" s="379" t="s">
        <v>180</v>
      </c>
      <c r="C40" s="380">
        <v>0.05</v>
      </c>
      <c r="D40" s="379" t="s">
        <v>166</v>
      </c>
      <c r="E40" s="381">
        <v>3.5</v>
      </c>
      <c r="F40" s="381">
        <v>2</v>
      </c>
      <c r="G40" s="382">
        <v>3</v>
      </c>
      <c r="H40" s="379" t="s">
        <v>176</v>
      </c>
      <c r="I40" s="383">
        <v>2800</v>
      </c>
      <c r="J40" s="383">
        <v>1400</v>
      </c>
      <c r="K40" s="384">
        <v>2160</v>
      </c>
      <c r="L40" s="422">
        <f t="shared" si="4"/>
        <v>6480</v>
      </c>
      <c r="M40" s="385">
        <f t="shared" si="5"/>
        <v>0.039063206438195136</v>
      </c>
    </row>
    <row r="41" spans="1:13" ht="15">
      <c r="A41" s="3">
        <v>13</v>
      </c>
      <c r="B41" s="379" t="s">
        <v>181</v>
      </c>
      <c r="C41" s="386">
        <v>0.1</v>
      </c>
      <c r="D41" s="379" t="s">
        <v>166</v>
      </c>
      <c r="E41" s="381">
        <v>3</v>
      </c>
      <c r="F41" s="381">
        <v>2</v>
      </c>
      <c r="G41" s="382">
        <v>2.5</v>
      </c>
      <c r="H41" s="379" t="s">
        <v>178</v>
      </c>
      <c r="I41" s="383">
        <v>3000</v>
      </c>
      <c r="J41" s="383">
        <v>2500</v>
      </c>
      <c r="K41" s="384">
        <v>2880</v>
      </c>
      <c r="L41" s="422">
        <f t="shared" si="4"/>
        <v>7200</v>
      </c>
      <c r="M41" s="385">
        <f t="shared" si="5"/>
        <v>0.043403562709105704</v>
      </c>
    </row>
    <row r="42" spans="1:13" ht="15">
      <c r="A42" s="3">
        <v>14</v>
      </c>
      <c r="B42" s="379" t="s">
        <v>182</v>
      </c>
      <c r="C42" s="386">
        <v>0.25</v>
      </c>
      <c r="D42" s="379" t="s">
        <v>166</v>
      </c>
      <c r="E42" s="381">
        <v>2.25</v>
      </c>
      <c r="F42" s="381">
        <v>1</v>
      </c>
      <c r="G42" s="382">
        <v>1.5</v>
      </c>
      <c r="H42" s="379" t="s">
        <v>167</v>
      </c>
      <c r="I42" s="383">
        <v>12000</v>
      </c>
      <c r="J42" s="383">
        <v>5500</v>
      </c>
      <c r="K42" s="384">
        <v>10000</v>
      </c>
      <c r="L42" s="422">
        <f t="shared" si="4"/>
        <v>15000</v>
      </c>
      <c r="M42" s="385">
        <f t="shared" si="5"/>
        <v>0.09042408897730356</v>
      </c>
    </row>
    <row r="43" spans="1:13" ht="15">
      <c r="A43" s="3">
        <v>15</v>
      </c>
      <c r="B43" s="379" t="s">
        <v>183</v>
      </c>
      <c r="C43" s="386">
        <v>0.05</v>
      </c>
      <c r="D43" s="379" t="s">
        <v>166</v>
      </c>
      <c r="E43" s="381">
        <v>8</v>
      </c>
      <c r="F43" s="381">
        <v>4</v>
      </c>
      <c r="G43" s="382">
        <v>6</v>
      </c>
      <c r="H43" s="379" t="s">
        <v>167</v>
      </c>
      <c r="I43" s="383">
        <v>800</v>
      </c>
      <c r="J43" s="383">
        <v>400</v>
      </c>
      <c r="K43" s="384">
        <v>450</v>
      </c>
      <c r="L43" s="422">
        <f t="shared" si="4"/>
        <v>2700</v>
      </c>
      <c r="M43" s="385">
        <f t="shared" si="5"/>
        <v>0.01627633601591464</v>
      </c>
    </row>
    <row r="44" spans="1:13" ht="15">
      <c r="A44" s="3">
        <v>16</v>
      </c>
      <c r="B44" s="379" t="s">
        <v>184</v>
      </c>
      <c r="C44" s="386">
        <v>0.25</v>
      </c>
      <c r="D44" s="379" t="s">
        <v>166</v>
      </c>
      <c r="E44" s="381">
        <v>3.5</v>
      </c>
      <c r="F44" s="381">
        <v>2</v>
      </c>
      <c r="G44" s="382">
        <v>3</v>
      </c>
      <c r="H44" s="379" t="s">
        <v>167</v>
      </c>
      <c r="I44" s="383">
        <v>2500</v>
      </c>
      <c r="J44" s="383">
        <v>1500</v>
      </c>
      <c r="K44" s="384">
        <v>2000</v>
      </c>
      <c r="L44" s="422">
        <f t="shared" si="4"/>
        <v>6000</v>
      </c>
      <c r="M44" s="385">
        <f t="shared" si="5"/>
        <v>0.03616963559092142</v>
      </c>
    </row>
    <row r="45" spans="1:13" ht="15">
      <c r="A45" s="3">
        <v>17</v>
      </c>
      <c r="B45" s="379" t="s">
        <v>252</v>
      </c>
      <c r="C45" s="386">
        <v>0.05</v>
      </c>
      <c r="D45" s="379" t="s">
        <v>166</v>
      </c>
      <c r="E45" s="381">
        <v>3</v>
      </c>
      <c r="F45" s="381">
        <v>1</v>
      </c>
      <c r="G45" s="382">
        <v>2</v>
      </c>
      <c r="H45" s="379" t="s">
        <v>167</v>
      </c>
      <c r="I45" s="383">
        <v>1500</v>
      </c>
      <c r="J45" s="383">
        <v>1000</v>
      </c>
      <c r="K45" s="384">
        <v>1200</v>
      </c>
      <c r="L45" s="422">
        <f t="shared" si="4"/>
        <v>2400</v>
      </c>
      <c r="M45" s="385">
        <f t="shared" si="5"/>
        <v>0.01446785423636857</v>
      </c>
    </row>
    <row r="46" spans="1:13" ht="15">
      <c r="A46" s="3">
        <v>18</v>
      </c>
      <c r="B46" s="379" t="s">
        <v>253</v>
      </c>
      <c r="C46" s="386">
        <v>0.25</v>
      </c>
      <c r="D46" s="379" t="s">
        <v>166</v>
      </c>
      <c r="E46" s="381">
        <v>3</v>
      </c>
      <c r="F46" s="381">
        <v>1.5</v>
      </c>
      <c r="G46" s="382">
        <v>2.5</v>
      </c>
      <c r="H46" s="379" t="s">
        <v>167</v>
      </c>
      <c r="I46" s="383">
        <v>6000</v>
      </c>
      <c r="J46" s="383">
        <v>3000</v>
      </c>
      <c r="K46" s="384">
        <v>4350</v>
      </c>
      <c r="L46" s="422">
        <f t="shared" si="4"/>
        <v>10875</v>
      </c>
      <c r="M46" s="385">
        <f t="shared" si="5"/>
        <v>0.06555746450854508</v>
      </c>
    </row>
    <row r="47" spans="1:13" ht="15">
      <c r="A47" s="3">
        <v>19</v>
      </c>
      <c r="B47" s="379" t="s">
        <v>185</v>
      </c>
      <c r="C47" s="386">
        <v>0.25</v>
      </c>
      <c r="D47" s="379" t="s">
        <v>166</v>
      </c>
      <c r="E47" s="381">
        <v>2</v>
      </c>
      <c r="F47" s="381">
        <v>1</v>
      </c>
      <c r="G47" s="382">
        <v>1.5</v>
      </c>
      <c r="H47" s="379" t="s">
        <v>167</v>
      </c>
      <c r="I47" s="383">
        <v>10000</v>
      </c>
      <c r="J47" s="383">
        <v>4000</v>
      </c>
      <c r="K47" s="384">
        <v>4500</v>
      </c>
      <c r="L47" s="422">
        <f t="shared" si="4"/>
        <v>6750</v>
      </c>
      <c r="M47" s="385">
        <f t="shared" si="5"/>
        <v>0.0406908400397866</v>
      </c>
    </row>
    <row r="48" spans="1:13" ht="15">
      <c r="A48" s="3">
        <v>20</v>
      </c>
      <c r="B48" s="379" t="s">
        <v>254</v>
      </c>
      <c r="C48" s="386">
        <v>0.1</v>
      </c>
      <c r="D48" s="379" t="s">
        <v>166</v>
      </c>
      <c r="E48" s="381">
        <v>4</v>
      </c>
      <c r="F48" s="381">
        <v>3</v>
      </c>
      <c r="G48" s="382">
        <v>3</v>
      </c>
      <c r="H48" s="379" t="s">
        <v>167</v>
      </c>
      <c r="I48" s="383">
        <v>1800</v>
      </c>
      <c r="J48" s="383">
        <v>1400</v>
      </c>
      <c r="K48" s="384">
        <v>1500</v>
      </c>
      <c r="L48" s="422">
        <f t="shared" si="4"/>
        <v>4500</v>
      </c>
      <c r="M48" s="385">
        <f t="shared" si="5"/>
        <v>0.027127226693191064</v>
      </c>
    </row>
    <row r="49" spans="2:13" ht="15.75" thickBot="1">
      <c r="B49" s="54" t="s">
        <v>33</v>
      </c>
      <c r="C49" s="387">
        <f>SUM(C29:C48)</f>
        <v>3.849999999999999</v>
      </c>
      <c r="D49" s="54"/>
      <c r="E49" s="388"/>
      <c r="F49" s="388"/>
      <c r="G49" s="387"/>
      <c r="H49" s="54"/>
      <c r="I49" s="389"/>
      <c r="J49" s="389"/>
      <c r="K49" s="390"/>
      <c r="L49" s="423">
        <f>SUM(L29:L48)</f>
        <v>165885</v>
      </c>
      <c r="M49" s="391">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6" t="str">
        <f>'Fixed Costs &amp; Overhead Charges'!B2:O2</f>
        <v>Kale Enterprise Budget, 0.1 Acre, Southwest British Columbia, Canada </v>
      </c>
      <c r="C2" s="477"/>
      <c r="D2" s="477"/>
      <c r="E2" s="477"/>
      <c r="F2" s="478"/>
    </row>
    <row r="3" spans="1:6" ht="21" customHeight="1" thickBot="1">
      <c r="A3" s="499" t="s">
        <v>36</v>
      </c>
      <c r="B3" s="494" t="s">
        <v>145</v>
      </c>
      <c r="C3" s="496"/>
      <c r="D3" s="496"/>
      <c r="E3" s="496"/>
      <c r="F3" s="497"/>
    </row>
    <row r="4" spans="1:6" ht="15">
      <c r="A4" s="499"/>
      <c r="B4" s="425" t="str">
        <f>'Fixed Costs &amp; Overhead Charges'!B5</f>
        <v>Crop</v>
      </c>
      <c r="C4" s="426" t="str">
        <f>'Fixed Costs &amp; Overhead Charges'!C5</f>
        <v>Kale</v>
      </c>
      <c r="D4" s="427"/>
      <c r="E4" s="147"/>
      <c r="F4" s="148"/>
    </row>
    <row r="5" spans="1:6" ht="15">
      <c r="A5" s="499"/>
      <c r="B5" s="428" t="str">
        <f>'Fixed Costs &amp; Overhead Charges'!B8</f>
        <v>Kale cultivated area</v>
      </c>
      <c r="C5" s="429">
        <f>'Fixed Costs &amp; Overhead Charges'!C8</f>
        <v>0.1</v>
      </c>
      <c r="D5" s="430" t="str">
        <f>'Fixed Costs &amp; Overhead Charges'!D8</f>
        <v>Acre</v>
      </c>
      <c r="E5" s="149"/>
      <c r="F5" s="150"/>
    </row>
    <row r="6" spans="1:6" ht="15">
      <c r="A6" s="499"/>
      <c r="B6" s="431" t="s">
        <v>60</v>
      </c>
      <c r="C6" s="432" t="s">
        <v>93</v>
      </c>
      <c r="D6" s="432" t="s">
        <v>17</v>
      </c>
      <c r="E6" s="432" t="s">
        <v>92</v>
      </c>
      <c r="F6" s="433" t="s">
        <v>61</v>
      </c>
    </row>
    <row r="7" spans="1:6" ht="15">
      <c r="A7" s="499"/>
      <c r="B7" s="144" t="str">
        <f>'Fixed Costs &amp; Overhead Charges'!C5</f>
        <v>Kale</v>
      </c>
      <c r="C7" s="140">
        <v>2880</v>
      </c>
      <c r="D7" s="131" t="s">
        <v>178</v>
      </c>
      <c r="E7" s="32">
        <v>2.5</v>
      </c>
      <c r="F7" s="33">
        <f aca="true" t="shared" si="0" ref="F7:F12">C7*E7</f>
        <v>7200</v>
      </c>
    </row>
    <row r="8" spans="1:6" ht="15">
      <c r="A8" s="499"/>
      <c r="B8" s="131"/>
      <c r="C8" s="141"/>
      <c r="D8" s="131"/>
      <c r="E8" s="34"/>
      <c r="F8" s="35">
        <f t="shared" si="0"/>
        <v>0</v>
      </c>
    </row>
    <row r="9" spans="1:6" ht="15">
      <c r="A9" s="499"/>
      <c r="B9" s="131"/>
      <c r="C9" s="141"/>
      <c r="D9" s="131"/>
      <c r="E9" s="34"/>
      <c r="F9" s="35">
        <f t="shared" si="0"/>
        <v>0</v>
      </c>
    </row>
    <row r="10" spans="1:6" ht="15">
      <c r="A10" s="499"/>
      <c r="B10" s="131"/>
      <c r="C10" s="141"/>
      <c r="D10" s="131"/>
      <c r="E10" s="34"/>
      <c r="F10" s="35">
        <f t="shared" si="0"/>
        <v>0</v>
      </c>
    </row>
    <row r="11" spans="1:6" ht="15">
      <c r="A11" s="499"/>
      <c r="B11" s="131"/>
      <c r="C11" s="141"/>
      <c r="D11" s="131"/>
      <c r="E11" s="34"/>
      <c r="F11" s="35">
        <f t="shared" si="0"/>
        <v>0</v>
      </c>
    </row>
    <row r="12" spans="1:6" ht="15.75" thickBot="1">
      <c r="A12" s="499"/>
      <c r="B12" s="131"/>
      <c r="C12" s="142"/>
      <c r="D12" s="131"/>
      <c r="E12" s="36"/>
      <c r="F12" s="37">
        <f t="shared" si="0"/>
        <v>0</v>
      </c>
    </row>
    <row r="13" spans="1:6" ht="15.75" thickBot="1">
      <c r="A13" s="499"/>
      <c r="B13" s="54" t="s">
        <v>33</v>
      </c>
      <c r="C13" s="78"/>
      <c r="D13" s="143"/>
      <c r="E13" s="79"/>
      <c r="F13" s="424">
        <f>SUM(F7:F12)</f>
        <v>7200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9">
      <selection activeCell="I25" sqref="I25"/>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6" t="str">
        <f>'Fixed Costs &amp; Overhead Charges'!B2:O2</f>
        <v>Kale Enterprise Budget, 0.1 Acre, Southwest British Columbia, Canada </v>
      </c>
      <c r="C2" s="527"/>
      <c r="D2" s="527"/>
      <c r="E2" s="527"/>
      <c r="F2" s="527"/>
      <c r="G2" s="527"/>
      <c r="H2" s="527"/>
      <c r="I2" s="527"/>
      <c r="J2" s="527"/>
      <c r="K2" s="528"/>
    </row>
    <row r="3" spans="2:11" ht="18.75">
      <c r="B3" s="529" t="s">
        <v>146</v>
      </c>
      <c r="C3" s="530"/>
      <c r="D3" s="530"/>
      <c r="E3" s="530"/>
      <c r="F3" s="530"/>
      <c r="G3" s="530"/>
      <c r="H3" s="530"/>
      <c r="I3" s="530"/>
      <c r="J3" s="530"/>
      <c r="K3" s="531"/>
    </row>
    <row r="4" spans="2:11" ht="15.75">
      <c r="B4" s="532" t="s">
        <v>147</v>
      </c>
      <c r="C4" s="533"/>
      <c r="D4" s="533"/>
      <c r="E4" s="533"/>
      <c r="F4" s="533"/>
      <c r="G4" s="533"/>
      <c r="H4" s="533"/>
      <c r="I4" s="533"/>
      <c r="J4" s="533"/>
      <c r="K4" s="534"/>
    </row>
    <row r="5" spans="2:11" ht="16.5" thickBot="1">
      <c r="B5" s="535" t="str">
        <f>"( "&amp;"$ per "&amp;'Fixed Costs &amp; Overhead Charges'!$C$8&amp;" "&amp;'Fixed Costs &amp; Overhead Charges'!$D$8&amp;" )"</f>
        <v>( $ per 0.1 Acre )</v>
      </c>
      <c r="C5" s="536"/>
      <c r="D5" s="536"/>
      <c r="E5" s="536"/>
      <c r="F5" s="536"/>
      <c r="G5" s="536"/>
      <c r="H5" s="536"/>
      <c r="I5" s="536"/>
      <c r="J5" s="536"/>
      <c r="K5" s="537"/>
    </row>
    <row r="6" spans="2:11" ht="15.75">
      <c r="B6" s="434"/>
      <c r="C6" s="435"/>
      <c r="D6" s="436"/>
      <c r="E6" s="541" t="s">
        <v>76</v>
      </c>
      <c r="F6" s="542"/>
      <c r="G6" s="543"/>
      <c r="H6" s="158"/>
      <c r="I6" s="541" t="s">
        <v>77</v>
      </c>
      <c r="J6" s="542"/>
      <c r="K6" s="544"/>
    </row>
    <row r="7" spans="2:11" ht="15">
      <c r="B7" s="434"/>
      <c r="C7" s="435"/>
      <c r="D7" s="436"/>
      <c r="E7" s="437">
        <v>0.3</v>
      </c>
      <c r="F7" s="438">
        <v>0.2</v>
      </c>
      <c r="G7" s="438">
        <v>0.1</v>
      </c>
      <c r="H7" s="439" t="s">
        <v>24</v>
      </c>
      <c r="I7" s="438">
        <v>0.1</v>
      </c>
      <c r="J7" s="438">
        <v>0.2</v>
      </c>
      <c r="K7" s="440">
        <v>0.3</v>
      </c>
    </row>
    <row r="8" spans="2:11" ht="15">
      <c r="B8" s="441"/>
      <c r="C8" s="442"/>
      <c r="D8" s="443"/>
      <c r="E8" s="450">
        <f>ROUND((H8*(1-E7)),2)</f>
        <v>1.75</v>
      </c>
      <c r="F8" s="451">
        <f>ROUND((H8*(1-F7)),2)</f>
        <v>2</v>
      </c>
      <c r="G8" s="451">
        <f>ROUND((H8*(1-G7)),2)</f>
        <v>2.25</v>
      </c>
      <c r="H8" s="452">
        <f>'ENTERPRISE BUDGET'!E15</f>
        <v>2.5</v>
      </c>
      <c r="I8" s="451">
        <f>ROUND(($H$8*(1+I$7)),2)</f>
        <v>2.75</v>
      </c>
      <c r="J8" s="451">
        <f>ROUND(($H$8*(1+J$7)),2)</f>
        <v>3</v>
      </c>
      <c r="K8" s="453">
        <f>ROUND(($H$8*(1+K$7)),2)</f>
        <v>3.25</v>
      </c>
    </row>
    <row r="9" spans="2:11" ht="15">
      <c r="B9" s="538" t="s">
        <v>78</v>
      </c>
      <c r="C9" s="444">
        <v>0.3</v>
      </c>
      <c r="D9" s="459">
        <f>ROUND($D$12*(1-$C9),2)</f>
        <v>2016</v>
      </c>
      <c r="E9" s="454">
        <f>($D9*E$8)-'ENTERPRISE BUDGET'!$F$160</f>
        <v>-92.51299998310787</v>
      </c>
      <c r="F9" s="454">
        <f>($D9*F$8)-'ENTERPRISE BUDGET'!$F$160</f>
        <v>411.4870000168921</v>
      </c>
      <c r="G9" s="454">
        <f>($D9*G$8)-'ENTERPRISE BUDGET'!$F$160</f>
        <v>915.4870000168921</v>
      </c>
      <c r="H9" s="454">
        <f>($D9*H$8)-'ENTERPRISE BUDGET'!$F$160</f>
        <v>1419.4870000168921</v>
      </c>
      <c r="I9" s="454">
        <f>($D9*I$8)-'ENTERPRISE BUDGET'!$F$160</f>
        <v>1923.4870000168921</v>
      </c>
      <c r="J9" s="454">
        <f>($D9*J$8)-'ENTERPRISE BUDGET'!$F$160</f>
        <v>2427.487000016892</v>
      </c>
      <c r="K9" s="455">
        <f>($D9*K$8)-'ENTERPRISE BUDGET'!$F$160</f>
        <v>2931.487000016892</v>
      </c>
    </row>
    <row r="10" spans="2:11" ht="15">
      <c r="B10" s="539"/>
      <c r="C10" s="445">
        <v>0.2</v>
      </c>
      <c r="D10" s="460">
        <f>ROUND($D$12*(1-$C10),2)</f>
        <v>2304</v>
      </c>
      <c r="E10" s="454">
        <f>($D10*E$8)-'ENTERPRISE BUDGET'!$F$160</f>
        <v>411.4870000168921</v>
      </c>
      <c r="F10" s="454">
        <f>($D10*F$8)-'ENTERPRISE BUDGET'!$F$160</f>
        <v>987.4870000168921</v>
      </c>
      <c r="G10" s="454">
        <f>($D10*G$8)-'ENTERPRISE BUDGET'!$F$160</f>
        <v>1563.4870000168921</v>
      </c>
      <c r="H10" s="454">
        <f>($D10*H$8)-'ENTERPRISE BUDGET'!$F$160</f>
        <v>2139.487000016892</v>
      </c>
      <c r="I10" s="454">
        <f>($D10*I$8)-'ENTERPRISE BUDGET'!$F$160</f>
        <v>2715.487000016892</v>
      </c>
      <c r="J10" s="454">
        <f>($D10*J$8)-'ENTERPRISE BUDGET'!$F$160</f>
        <v>3291.487000016892</v>
      </c>
      <c r="K10" s="455">
        <f>($D10*K$8)-'ENTERPRISE BUDGET'!$F$160</f>
        <v>3867.487000016892</v>
      </c>
    </row>
    <row r="11" spans="2:11" ht="15">
      <c r="B11" s="540"/>
      <c r="C11" s="445">
        <v>0.1</v>
      </c>
      <c r="D11" s="460">
        <f>ROUND($D$12*(1-$C11),2)</f>
        <v>2592</v>
      </c>
      <c r="E11" s="454">
        <f>($D11*E$8)-'ENTERPRISE BUDGET'!$F$160</f>
        <v>915.4870000168921</v>
      </c>
      <c r="F11" s="454">
        <f>($D11*F$8)-'ENTERPRISE BUDGET'!$F$160</f>
        <v>1563.4870000168921</v>
      </c>
      <c r="G11" s="454">
        <f>($D11*G$8)-'ENTERPRISE BUDGET'!$F$160</f>
        <v>2211.487000016892</v>
      </c>
      <c r="H11" s="454">
        <f>($D11*H$8)-'ENTERPRISE BUDGET'!$F$160</f>
        <v>2859.487000016892</v>
      </c>
      <c r="I11" s="454">
        <f>($D11*I$8)-'ENTERPRISE BUDGET'!$F$160</f>
        <v>3507.487000016892</v>
      </c>
      <c r="J11" s="454">
        <f>($D11*J$8)-'ENTERPRISE BUDGET'!$F$160</f>
        <v>4155.487000016892</v>
      </c>
      <c r="K11" s="455">
        <f>($D11*K$8)-'ENTERPRISE BUDGET'!$F$160</f>
        <v>4803.487000016892</v>
      </c>
    </row>
    <row r="12" spans="2:11" ht="15">
      <c r="B12" s="7"/>
      <c r="C12" s="446" t="s">
        <v>79</v>
      </c>
      <c r="D12" s="461">
        <f>'ENTERPRISE BUDGET'!C15</f>
        <v>2880</v>
      </c>
      <c r="E12" s="454">
        <f>($D12*E$8)-'ENTERPRISE BUDGET'!$F$160</f>
        <v>1419.4870000168921</v>
      </c>
      <c r="F12" s="454">
        <f>($D12*F$8)-'ENTERPRISE BUDGET'!$F$160</f>
        <v>2139.487000016892</v>
      </c>
      <c r="G12" s="454">
        <f>($D12*G$8)-'ENTERPRISE BUDGET'!$F$160</f>
        <v>2859.487000016892</v>
      </c>
      <c r="H12" s="456">
        <f>($D12*H$8)-'ENTERPRISE BUDGET'!$F$160</f>
        <v>3579.487000016892</v>
      </c>
      <c r="I12" s="454">
        <f>($D12*I$8)-'ENTERPRISE BUDGET'!$F$160</f>
        <v>4299.487000016892</v>
      </c>
      <c r="J12" s="454">
        <f>($D12*J$8)-'ENTERPRISE BUDGET'!$F$160</f>
        <v>5019.487000016892</v>
      </c>
      <c r="K12" s="455">
        <f>($D12*K$8)-'ENTERPRISE BUDGET'!$F$160</f>
        <v>5739.487000016892</v>
      </c>
    </row>
    <row r="13" spans="2:11" ht="15">
      <c r="B13" s="545" t="s">
        <v>80</v>
      </c>
      <c r="C13" s="438">
        <v>0.1</v>
      </c>
      <c r="D13" s="460">
        <f>ROUND($D$12*(1+$C13),2)</f>
        <v>3168</v>
      </c>
      <c r="E13" s="454">
        <f>($D13*E$8)-'ENTERPRISE BUDGET'!$F$160</f>
        <v>1923.4870000168921</v>
      </c>
      <c r="F13" s="454">
        <f>($D13*F$8)-'ENTERPRISE BUDGET'!$F$160</f>
        <v>2715.487000016892</v>
      </c>
      <c r="G13" s="454">
        <f>($D13*G$8)-'ENTERPRISE BUDGET'!$F$160</f>
        <v>3507.487000016892</v>
      </c>
      <c r="H13" s="454">
        <f>($D13*H$8)-'ENTERPRISE BUDGET'!$F$160</f>
        <v>4299.487000016892</v>
      </c>
      <c r="I13" s="454">
        <f>($D13*I$8)-'ENTERPRISE BUDGET'!$F$160</f>
        <v>5091.487000016892</v>
      </c>
      <c r="J13" s="454">
        <f>($D13*J$8)-'ENTERPRISE BUDGET'!$F$160</f>
        <v>5883.487000016892</v>
      </c>
      <c r="K13" s="455">
        <f>($D13*K$8)-'ENTERPRISE BUDGET'!$F$160</f>
        <v>6675.487000016892</v>
      </c>
    </row>
    <row r="14" spans="2:11" ht="15">
      <c r="B14" s="546"/>
      <c r="C14" s="438">
        <v>0.2</v>
      </c>
      <c r="D14" s="460">
        <f>ROUND($D$12*(1+$C14),2)</f>
        <v>3456</v>
      </c>
      <c r="E14" s="454">
        <f>($D14*E$8)-'ENTERPRISE BUDGET'!$F$160</f>
        <v>2427.487000016892</v>
      </c>
      <c r="F14" s="454">
        <f>($D14*F$8)-'ENTERPRISE BUDGET'!$F$160</f>
        <v>3291.487000016892</v>
      </c>
      <c r="G14" s="454">
        <f>($D14*G$8)-'ENTERPRISE BUDGET'!$F$160</f>
        <v>4155.487000016892</v>
      </c>
      <c r="H14" s="454">
        <f>($D14*H$8)-'ENTERPRISE BUDGET'!$F$160</f>
        <v>5019.487000016892</v>
      </c>
      <c r="I14" s="454">
        <f>($D14*I$8)-'ENTERPRISE BUDGET'!$F$160</f>
        <v>5883.487000016892</v>
      </c>
      <c r="J14" s="454">
        <f>($D14*J$8)-'ENTERPRISE BUDGET'!$F$160</f>
        <v>6747.487000016892</v>
      </c>
      <c r="K14" s="455">
        <f>($D14*K$8)-'ENTERPRISE BUDGET'!$F$160</f>
        <v>7611.487000016892</v>
      </c>
    </row>
    <row r="15" spans="2:11" ht="15.75" thickBot="1">
      <c r="B15" s="548"/>
      <c r="C15" s="447">
        <v>0.3</v>
      </c>
      <c r="D15" s="462">
        <f>ROUND($D$12*(1+$C15),2)</f>
        <v>3744</v>
      </c>
      <c r="E15" s="457">
        <f>($D15*E$8)-'ENTERPRISE BUDGET'!$F$160</f>
        <v>2931.487000016892</v>
      </c>
      <c r="F15" s="457">
        <f>($D15*F$8)-'ENTERPRISE BUDGET'!$F$160</f>
        <v>3867.487000016892</v>
      </c>
      <c r="G15" s="457">
        <f>($D15*G$8)-'ENTERPRISE BUDGET'!$F$160</f>
        <v>4803.487000016892</v>
      </c>
      <c r="H15" s="457">
        <f>($D15*H$8)-'ENTERPRISE BUDGET'!$F$160</f>
        <v>5739.487000016892</v>
      </c>
      <c r="I15" s="457">
        <f>($D15*I$8)-'ENTERPRISE BUDGET'!$F$160</f>
        <v>6675.487000016892</v>
      </c>
      <c r="J15" s="457">
        <f>($D15*J$8)-'ENTERPRISE BUDGET'!$F$160</f>
        <v>7611.487000016892</v>
      </c>
      <c r="K15" s="458">
        <f>($D15*K$8)-'ENTERPRISE BUDGET'!$F$160</f>
        <v>8547.487000016892</v>
      </c>
    </row>
    <row r="18" spans="10:11" ht="15.75" thickBot="1">
      <c r="J18" s="448"/>
      <c r="K18" s="448"/>
    </row>
    <row r="19" spans="2:11" ht="18.75">
      <c r="B19" s="526" t="str">
        <f>'Fixed Costs &amp; Overhead Charges'!B2:O2</f>
        <v>Kale Enterprise Budget, 0.1 Acre, Southwest British Columbia, Canada </v>
      </c>
      <c r="C19" s="527"/>
      <c r="D19" s="527"/>
      <c r="E19" s="527"/>
      <c r="F19" s="527"/>
      <c r="G19" s="527"/>
      <c r="H19" s="527"/>
      <c r="I19" s="527"/>
      <c r="J19" s="527"/>
      <c r="K19" s="528"/>
    </row>
    <row r="20" spans="2:11" ht="18.75">
      <c r="B20" s="529" t="s">
        <v>148</v>
      </c>
      <c r="C20" s="530"/>
      <c r="D20" s="530"/>
      <c r="E20" s="530"/>
      <c r="F20" s="530"/>
      <c r="G20" s="530"/>
      <c r="H20" s="530"/>
      <c r="I20" s="530"/>
      <c r="J20" s="530"/>
      <c r="K20" s="531"/>
    </row>
    <row r="21" spans="2:11" ht="15.75">
      <c r="B21" s="532" t="s">
        <v>197</v>
      </c>
      <c r="C21" s="533"/>
      <c r="D21" s="533"/>
      <c r="E21" s="533"/>
      <c r="F21" s="533"/>
      <c r="G21" s="533"/>
      <c r="H21" s="533"/>
      <c r="I21" s="533"/>
      <c r="J21" s="533"/>
      <c r="K21" s="534"/>
    </row>
    <row r="22" spans="2:11" ht="16.5" thickBot="1">
      <c r="B22" s="535" t="str">
        <f>"( "&amp;"$ per "&amp;'Fixed Costs &amp; Overhead Charges'!$C$8&amp;" "&amp;'Fixed Costs &amp; Overhead Charges'!$D$8&amp;" )"</f>
        <v>( $ per 0.1 Acre )</v>
      </c>
      <c r="C22" s="536"/>
      <c r="D22" s="536"/>
      <c r="E22" s="536"/>
      <c r="F22" s="536"/>
      <c r="G22" s="536"/>
      <c r="H22" s="536"/>
      <c r="I22" s="536"/>
      <c r="J22" s="536"/>
      <c r="K22" s="537"/>
    </row>
    <row r="23" spans="2:11" ht="15.75">
      <c r="B23" s="463"/>
      <c r="C23" s="464"/>
      <c r="D23" s="465"/>
      <c r="E23" s="541" t="s">
        <v>76</v>
      </c>
      <c r="F23" s="542"/>
      <c r="G23" s="543"/>
      <c r="H23" s="266"/>
      <c r="I23" s="541" t="s">
        <v>77</v>
      </c>
      <c r="J23" s="542"/>
      <c r="K23" s="544"/>
    </row>
    <row r="24" spans="2:11" ht="15">
      <c r="B24" s="434"/>
      <c r="C24" s="435"/>
      <c r="D24" s="435"/>
      <c r="E24" s="438">
        <v>0.3</v>
      </c>
      <c r="F24" s="438">
        <v>0.2</v>
      </c>
      <c r="G24" s="438">
        <v>0.1</v>
      </c>
      <c r="H24" s="439" t="s">
        <v>24</v>
      </c>
      <c r="I24" s="438">
        <v>0.1</v>
      </c>
      <c r="J24" s="438">
        <v>0.2</v>
      </c>
      <c r="K24" s="440">
        <v>0.3</v>
      </c>
    </row>
    <row r="25" spans="2:11" ht="15">
      <c r="B25" s="434"/>
      <c r="C25" s="435"/>
      <c r="D25" s="443"/>
      <c r="E25" s="450">
        <f>ROUND(($H$25*(1-E24)),2)</f>
        <v>1.75</v>
      </c>
      <c r="F25" s="451">
        <f>ROUND(($H$25*(1-F24)),2)</f>
        <v>2</v>
      </c>
      <c r="G25" s="451">
        <f>ROUND(($H$25*(1-G24)),2)</f>
        <v>2.25</v>
      </c>
      <c r="H25" s="452">
        <f>'ENTERPRISE BUDGET'!E15</f>
        <v>2.5</v>
      </c>
      <c r="I25" s="451">
        <f>ROUND(($H$25*(1+I$24)),2)</f>
        <v>2.75</v>
      </c>
      <c r="J25" s="451">
        <f>ROUND(($H$25*(1+J$24)),2)</f>
        <v>3</v>
      </c>
      <c r="K25" s="453">
        <f>ROUND(($H$25*(1+K$24)),2)</f>
        <v>3.25</v>
      </c>
    </row>
    <row r="26" spans="2:11" ht="15">
      <c r="B26" s="545" t="s">
        <v>78</v>
      </c>
      <c r="C26" s="449">
        <v>0.3</v>
      </c>
      <c r="D26" s="470">
        <f>ROUND(($D$29*(1-$C26)),2)</f>
        <v>2534.36</v>
      </c>
      <c r="E26" s="466">
        <f>ROUND($D26/E$25,0)</f>
        <v>1448</v>
      </c>
      <c r="F26" s="466">
        <f>ROUND($D26/F$25,0)</f>
        <v>1267</v>
      </c>
      <c r="G26" s="466">
        <f>ROUND($D26/G$25,0)</f>
        <v>1126</v>
      </c>
      <c r="H26" s="466">
        <f aca="true" t="shared" si="0" ref="H26:K32">ROUND($D26/H$25,0)</f>
        <v>1014</v>
      </c>
      <c r="I26" s="466">
        <f t="shared" si="0"/>
        <v>922</v>
      </c>
      <c r="J26" s="466">
        <f t="shared" si="0"/>
        <v>845</v>
      </c>
      <c r="K26" s="467">
        <f t="shared" si="0"/>
        <v>780</v>
      </c>
    </row>
    <row r="27" spans="2:11" ht="15">
      <c r="B27" s="546"/>
      <c r="C27" s="438">
        <v>0.2</v>
      </c>
      <c r="D27" s="471">
        <f>ROUND(($D$29*(1-$C27)),2)</f>
        <v>2896.41</v>
      </c>
      <c r="E27" s="466">
        <f aca="true" t="shared" si="1" ref="E27:G32">ROUND($D27/E$25,0)</f>
        <v>1655</v>
      </c>
      <c r="F27" s="466">
        <f t="shared" si="1"/>
        <v>1448</v>
      </c>
      <c r="G27" s="466">
        <f t="shared" si="1"/>
        <v>1287</v>
      </c>
      <c r="H27" s="466">
        <f t="shared" si="0"/>
        <v>1159</v>
      </c>
      <c r="I27" s="466">
        <f t="shared" si="0"/>
        <v>1053</v>
      </c>
      <c r="J27" s="466">
        <f t="shared" si="0"/>
        <v>965</v>
      </c>
      <c r="K27" s="467">
        <f t="shared" si="0"/>
        <v>891</v>
      </c>
    </row>
    <row r="28" spans="2:11" ht="15">
      <c r="B28" s="547"/>
      <c r="C28" s="438">
        <v>0.1</v>
      </c>
      <c r="D28" s="471">
        <f>ROUND(($D$29*(1-$C28)),2)</f>
        <v>3258.46</v>
      </c>
      <c r="E28" s="466">
        <f t="shared" si="1"/>
        <v>1862</v>
      </c>
      <c r="F28" s="466">
        <f t="shared" si="1"/>
        <v>1629</v>
      </c>
      <c r="G28" s="466">
        <f t="shared" si="1"/>
        <v>1448</v>
      </c>
      <c r="H28" s="466">
        <f t="shared" si="0"/>
        <v>1303</v>
      </c>
      <c r="I28" s="466">
        <f t="shared" si="0"/>
        <v>1185</v>
      </c>
      <c r="J28" s="466">
        <f t="shared" si="0"/>
        <v>1086</v>
      </c>
      <c r="K28" s="467">
        <f t="shared" si="0"/>
        <v>1003</v>
      </c>
    </row>
    <row r="29" spans="2:11" ht="15">
      <c r="B29" s="7"/>
      <c r="C29" s="446" t="s">
        <v>81</v>
      </c>
      <c r="D29" s="472">
        <f>'ENTERPRISE BUDGET'!F160</f>
        <v>3620.512999983108</v>
      </c>
      <c r="E29" s="466">
        <f t="shared" si="1"/>
        <v>2069</v>
      </c>
      <c r="F29" s="466">
        <f t="shared" si="1"/>
        <v>1810</v>
      </c>
      <c r="G29" s="466">
        <f t="shared" si="1"/>
        <v>1609</v>
      </c>
      <c r="H29" s="466">
        <f>ROUND($D29/H$25,0)</f>
        <v>1448</v>
      </c>
      <c r="I29" s="466">
        <f t="shared" si="0"/>
        <v>1317</v>
      </c>
      <c r="J29" s="466">
        <f t="shared" si="0"/>
        <v>1207</v>
      </c>
      <c r="K29" s="467">
        <f t="shared" si="0"/>
        <v>1114</v>
      </c>
    </row>
    <row r="30" spans="2:11" ht="15">
      <c r="B30" s="545" t="s">
        <v>80</v>
      </c>
      <c r="C30" s="438">
        <v>0.1</v>
      </c>
      <c r="D30" s="471">
        <f>ROUND(($D$29*(1+$C30)),2)</f>
        <v>3982.56</v>
      </c>
      <c r="E30" s="466">
        <f t="shared" si="1"/>
        <v>2276</v>
      </c>
      <c r="F30" s="466">
        <f t="shared" si="1"/>
        <v>1991</v>
      </c>
      <c r="G30" s="466">
        <f t="shared" si="1"/>
        <v>1770</v>
      </c>
      <c r="H30" s="466">
        <f t="shared" si="0"/>
        <v>1593</v>
      </c>
      <c r="I30" s="466">
        <f t="shared" si="0"/>
        <v>1448</v>
      </c>
      <c r="J30" s="466">
        <f t="shared" si="0"/>
        <v>1328</v>
      </c>
      <c r="K30" s="467">
        <f t="shared" si="0"/>
        <v>1225</v>
      </c>
    </row>
    <row r="31" spans="2:11" ht="15">
      <c r="B31" s="546"/>
      <c r="C31" s="438">
        <v>0.2</v>
      </c>
      <c r="D31" s="471">
        <f>ROUND(($D$29*(1+$C31)),2)</f>
        <v>4344.62</v>
      </c>
      <c r="E31" s="466">
        <f t="shared" si="1"/>
        <v>2483</v>
      </c>
      <c r="F31" s="466">
        <f t="shared" si="1"/>
        <v>2172</v>
      </c>
      <c r="G31" s="466">
        <f t="shared" si="1"/>
        <v>1931</v>
      </c>
      <c r="H31" s="466">
        <f t="shared" si="0"/>
        <v>1738</v>
      </c>
      <c r="I31" s="466">
        <f t="shared" si="0"/>
        <v>1580</v>
      </c>
      <c r="J31" s="466">
        <f t="shared" si="0"/>
        <v>1448</v>
      </c>
      <c r="K31" s="467">
        <f t="shared" si="0"/>
        <v>1337</v>
      </c>
    </row>
    <row r="32" spans="2:11" ht="15.75" thickBot="1">
      <c r="B32" s="548"/>
      <c r="C32" s="447">
        <v>0.3</v>
      </c>
      <c r="D32" s="473">
        <f>ROUND(($D$29*(1+$C32)),2)</f>
        <v>4706.67</v>
      </c>
      <c r="E32" s="468">
        <f t="shared" si="1"/>
        <v>2690</v>
      </c>
      <c r="F32" s="468">
        <f t="shared" si="1"/>
        <v>2353</v>
      </c>
      <c r="G32" s="468">
        <f t="shared" si="1"/>
        <v>2092</v>
      </c>
      <c r="H32" s="468">
        <f t="shared" si="0"/>
        <v>1883</v>
      </c>
      <c r="I32" s="468">
        <f t="shared" si="0"/>
        <v>1712</v>
      </c>
      <c r="J32" s="468">
        <f t="shared" si="0"/>
        <v>1569</v>
      </c>
      <c r="K32" s="469">
        <f t="shared" si="0"/>
        <v>1448</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2015-06-16T19:11:57Z</dcterms:modified>
  <cp:category/>
  <cp:version/>
  <cp:contentType/>
  <cp:contentStatus/>
</cp:coreProperties>
</file>