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55" windowWidth="20730" windowHeight="11715"/>
  </bookViews>
  <sheets>
    <sheet name="DESCRIPTION" sheetId="10" r:id="rId1"/>
    <sheet name="LAMB_FIXED COST" sheetId="2" r:id="rId2"/>
    <sheet name="LAMB_ENTERPRISE BUDGET" sheetId="1" r:id="rId3"/>
    <sheet name="ANALYSIS" sheetId="9" r:id="rId4"/>
  </sheets>
  <calcPr calcId="145621"/>
</workbook>
</file>

<file path=xl/calcChain.xml><?xml version="1.0" encoding="utf-8"?>
<calcChain xmlns="http://schemas.openxmlformats.org/spreadsheetml/2006/main">
  <c r="H23" i="1" l="1"/>
  <c r="I32" i="1"/>
  <c r="G9" i="2" l="1"/>
  <c r="K9" i="2" s="1"/>
  <c r="K8" i="2"/>
  <c r="G8" i="2"/>
  <c r="M20" i="2"/>
  <c r="M32" i="2"/>
  <c r="M37" i="2"/>
  <c r="M45" i="2"/>
  <c r="D12" i="9" l="1"/>
  <c r="H25" i="9"/>
  <c r="K25" i="9" s="1"/>
  <c r="H8" i="9"/>
  <c r="D9" i="9"/>
  <c r="H48" i="1"/>
  <c r="K8" i="9"/>
  <c r="I8" i="9"/>
  <c r="E8" i="9"/>
  <c r="G54" i="1"/>
  <c r="H54" i="1" s="1"/>
  <c r="H45" i="1"/>
  <c r="H46" i="1"/>
  <c r="H47" i="1"/>
  <c r="I48" i="1"/>
  <c r="H44" i="1"/>
  <c r="C40" i="1"/>
  <c r="C38" i="1"/>
  <c r="C35" i="1"/>
  <c r="C34" i="1"/>
  <c r="C33" i="1"/>
  <c r="C31" i="1"/>
  <c r="F14" i="2"/>
  <c r="F31" i="1"/>
  <c r="G8" i="9" l="1"/>
  <c r="J8" i="9"/>
  <c r="D10" i="9"/>
  <c r="D11" i="9"/>
  <c r="D15" i="9"/>
  <c r="H49" i="1"/>
  <c r="F8" i="9"/>
  <c r="E25" i="9"/>
  <c r="I25" i="9"/>
  <c r="F25" i="9"/>
  <c r="J25" i="9"/>
  <c r="D13" i="9"/>
  <c r="D14" i="9"/>
  <c r="G25" i="9"/>
  <c r="H35" i="1" l="1"/>
  <c r="H21" i="1"/>
  <c r="F28" i="2"/>
  <c r="D12" i="1"/>
  <c r="D9" i="1"/>
  <c r="C47" i="1"/>
  <c r="C46" i="1"/>
  <c r="F42" i="2"/>
  <c r="F41" i="2"/>
  <c r="C21" i="1"/>
  <c r="C22" i="1"/>
  <c r="D13" i="1" l="1"/>
  <c r="D14" i="1" s="1"/>
  <c r="C41" i="1"/>
  <c r="F41" i="1" s="1"/>
  <c r="H41" i="1" s="1"/>
  <c r="C39" i="1"/>
  <c r="F39" i="1" s="1"/>
  <c r="H39" i="1" s="1"/>
  <c r="C32" i="1"/>
  <c r="F32" i="1"/>
  <c r="H32" i="1" s="1"/>
  <c r="I21" i="1"/>
  <c r="H53" i="1"/>
  <c r="K41" i="2"/>
  <c r="L41" i="2"/>
  <c r="K42" i="2"/>
  <c r="M42" i="2" s="1"/>
  <c r="L42" i="2"/>
  <c r="K44" i="2"/>
  <c r="L44" i="2"/>
  <c r="C23" i="1"/>
  <c r="F23" i="1" s="1"/>
  <c r="I23" i="1" s="1"/>
  <c r="F22" i="1"/>
  <c r="H31" i="1"/>
  <c r="F40" i="1"/>
  <c r="H40" i="1" s="1"/>
  <c r="F38" i="1"/>
  <c r="H38" i="1" s="1"/>
  <c r="H30" i="1"/>
  <c r="H33" i="1"/>
  <c r="H34" i="1"/>
  <c r="M44" i="2" l="1"/>
  <c r="M41" i="2"/>
  <c r="H22" i="1"/>
  <c r="I22" i="1" s="1"/>
  <c r="H36" i="1"/>
  <c r="H42" i="1"/>
  <c r="F13" i="2" l="1"/>
  <c r="F43" i="2"/>
  <c r="J45" i="2"/>
  <c r="J37" i="2"/>
  <c r="J20" i="2"/>
  <c r="J32" i="2"/>
  <c r="J10" i="2"/>
  <c r="I45" i="2"/>
  <c r="I37" i="2"/>
  <c r="I32" i="2"/>
  <c r="I20" i="2"/>
  <c r="I10" i="2"/>
  <c r="F36" i="2"/>
  <c r="F35" i="2"/>
  <c r="F24" i="2"/>
  <c r="F25" i="2"/>
  <c r="F26" i="2"/>
  <c r="F27" i="2"/>
  <c r="F29" i="2"/>
  <c r="F30" i="2"/>
  <c r="F31" i="2"/>
  <c r="F23" i="2"/>
  <c r="F19" i="2"/>
  <c r="L19" i="2" s="1"/>
  <c r="F15" i="2"/>
  <c r="F16" i="2"/>
  <c r="F17" i="2"/>
  <c r="F18" i="2"/>
  <c r="F9" i="2"/>
  <c r="F8" i="2"/>
  <c r="M47" i="2" l="1"/>
  <c r="I54" i="1"/>
  <c r="K43" i="2"/>
  <c r="L43" i="2"/>
  <c r="F40" i="2"/>
  <c r="K40" i="2" s="1"/>
  <c r="L31" i="2"/>
  <c r="K31" i="2"/>
  <c r="K30" i="2"/>
  <c r="K29" i="2"/>
  <c r="K28" i="2"/>
  <c r="K27" i="2"/>
  <c r="K26" i="2"/>
  <c r="K25" i="2"/>
  <c r="K24" i="2"/>
  <c r="L23" i="2"/>
  <c r="K23" i="2"/>
  <c r="L36" i="2"/>
  <c r="K36" i="2"/>
  <c r="L35" i="2"/>
  <c r="K35" i="2"/>
  <c r="K19" i="2"/>
  <c r="L18" i="2"/>
  <c r="K18" i="2"/>
  <c r="L17" i="2"/>
  <c r="L16" i="2"/>
  <c r="L15" i="2"/>
  <c r="L14" i="2"/>
  <c r="K14" i="2"/>
  <c r="L13" i="2"/>
  <c r="L9" i="2"/>
  <c r="I46" i="1"/>
  <c r="I34" i="1"/>
  <c r="I35" i="1"/>
  <c r="I33" i="1"/>
  <c r="I31" i="1"/>
  <c r="I39" i="1"/>
  <c r="I38" i="1"/>
  <c r="L40" i="2" l="1"/>
  <c r="M40" i="2" s="1"/>
  <c r="M43" i="2"/>
  <c r="C24" i="1"/>
  <c r="M36" i="2"/>
  <c r="M35" i="2"/>
  <c r="M31" i="2"/>
  <c r="M14" i="2"/>
  <c r="L29" i="2"/>
  <c r="M29" i="2" s="1"/>
  <c r="L27" i="2"/>
  <c r="M27" i="2" s="1"/>
  <c r="L8" i="2"/>
  <c r="L25" i="2"/>
  <c r="M25" i="2" s="1"/>
  <c r="I30" i="1"/>
  <c r="I36" i="1" s="1"/>
  <c r="M19" i="2"/>
  <c r="M18" i="2"/>
  <c r="L24" i="2"/>
  <c r="M24" i="2" s="1"/>
  <c r="L26" i="2"/>
  <c r="M26" i="2" s="1"/>
  <c r="L28" i="2"/>
  <c r="M28" i="2" s="1"/>
  <c r="L30" i="2"/>
  <c r="M30" i="2" s="1"/>
  <c r="M23" i="2"/>
  <c r="M9" i="2"/>
  <c r="K15" i="2"/>
  <c r="M15" i="2" s="1"/>
  <c r="K16" i="2"/>
  <c r="M16" i="2" s="1"/>
  <c r="K17" i="2"/>
  <c r="M17" i="2" s="1"/>
  <c r="K13" i="2"/>
  <c r="M13" i="2" s="1"/>
  <c r="I45" i="1"/>
  <c r="H64" i="1" l="1"/>
  <c r="H65" i="1"/>
  <c r="I65" i="1" s="1"/>
  <c r="D16" i="1"/>
  <c r="F24" i="1"/>
  <c r="C14" i="1"/>
  <c r="M8" i="2"/>
  <c r="M10" i="2" s="1"/>
  <c r="H24" i="1" l="1"/>
  <c r="I24" i="1" s="1"/>
  <c r="C20" i="1"/>
  <c r="F20" i="1" s="1"/>
  <c r="H20" i="1" s="1"/>
  <c r="C52" i="1"/>
  <c r="H52" i="1" s="1"/>
  <c r="I52" i="1" s="1"/>
  <c r="C51" i="1"/>
  <c r="H51" i="1" s="1"/>
  <c r="C16" i="1"/>
  <c r="H63" i="1"/>
  <c r="H61" i="1"/>
  <c r="H62" i="1"/>
  <c r="I53" i="1"/>
  <c r="I47" i="1"/>
  <c r="I41" i="1"/>
  <c r="H66" i="1" l="1"/>
  <c r="I51" i="1"/>
  <c r="H55" i="1"/>
  <c r="H56" i="1" s="1"/>
  <c r="H57" i="1" s="1"/>
  <c r="I44" i="1"/>
  <c r="I49" i="1" s="1"/>
  <c r="I40" i="1"/>
  <c r="I42" i="1" s="1"/>
  <c r="I64" i="1"/>
  <c r="I63" i="1"/>
  <c r="I62" i="1"/>
  <c r="H71" i="1" l="1"/>
  <c r="H67" i="1"/>
  <c r="H25" i="1"/>
  <c r="H72" i="1" s="1"/>
  <c r="I20" i="1"/>
  <c r="I25" i="1" s="1"/>
  <c r="I61" i="1"/>
  <c r="I66" i="1" s="1"/>
  <c r="H73" i="1" l="1"/>
  <c r="H12" i="9"/>
  <c r="D29" i="9"/>
  <c r="E9" i="9"/>
  <c r="G9" i="9"/>
  <c r="K12" i="9"/>
  <c r="E12" i="9"/>
  <c r="I12" i="9"/>
  <c r="K9" i="9"/>
  <c r="H9" i="9"/>
  <c r="E13" i="9"/>
  <c r="K13" i="9"/>
  <c r="G12" i="9"/>
  <c r="I9" i="9"/>
  <c r="H11" i="9"/>
  <c r="G13" i="9"/>
  <c r="J13" i="9"/>
  <c r="F9" i="9"/>
  <c r="F15" i="9"/>
  <c r="H14" i="9"/>
  <c r="J14" i="9"/>
  <c r="E10" i="9"/>
  <c r="K10" i="9"/>
  <c r="K11" i="9"/>
  <c r="H13" i="9"/>
  <c r="J11" i="9"/>
  <c r="F11" i="9"/>
  <c r="H15" i="9"/>
  <c r="J15" i="9"/>
  <c r="E14" i="9"/>
  <c r="G14" i="9"/>
  <c r="I10" i="9"/>
  <c r="K14" i="9"/>
  <c r="E11" i="9"/>
  <c r="I13" i="9"/>
  <c r="J12" i="9"/>
  <c r="F12" i="9"/>
  <c r="E15" i="9"/>
  <c r="G15" i="9"/>
  <c r="I14" i="9"/>
  <c r="G10" i="9"/>
  <c r="F10" i="9"/>
  <c r="G11" i="9"/>
  <c r="I11" i="9"/>
  <c r="J9" i="9"/>
  <c r="F13" i="9"/>
  <c r="I15" i="9"/>
  <c r="K15" i="9"/>
  <c r="F14" i="9"/>
  <c r="H10" i="9"/>
  <c r="J10" i="9"/>
  <c r="I72" i="1"/>
  <c r="I55" i="1"/>
  <c r="D28" i="9" l="1"/>
  <c r="G29" i="9"/>
  <c r="D27" i="9"/>
  <c r="K29" i="9"/>
  <c r="H29" i="9"/>
  <c r="D26" i="9"/>
  <c r="D30" i="9"/>
  <c r="E29" i="9"/>
  <c r="D31" i="9"/>
  <c r="D32" i="9"/>
  <c r="I29" i="9"/>
  <c r="J29" i="9"/>
  <c r="F29" i="9"/>
  <c r="I56" i="1"/>
  <c r="I57" i="1" s="1"/>
  <c r="I71" i="1" s="1"/>
  <c r="K31" i="9" l="1"/>
  <c r="G31" i="9"/>
  <c r="I31" i="9"/>
  <c r="F31" i="9"/>
  <c r="H31" i="9"/>
  <c r="J31" i="9"/>
  <c r="E31" i="9"/>
  <c r="J30" i="9"/>
  <c r="H30" i="9"/>
  <c r="F30" i="9"/>
  <c r="K30" i="9"/>
  <c r="I30" i="9"/>
  <c r="G30" i="9"/>
  <c r="E30" i="9"/>
  <c r="H27" i="9"/>
  <c r="E27" i="9"/>
  <c r="K27" i="9"/>
  <c r="G27" i="9"/>
  <c r="J27" i="9"/>
  <c r="I27" i="9"/>
  <c r="F27" i="9"/>
  <c r="F32" i="9"/>
  <c r="K32" i="9"/>
  <c r="I32" i="9"/>
  <c r="G32" i="9"/>
  <c r="E32" i="9"/>
  <c r="J32" i="9"/>
  <c r="H32" i="9"/>
  <c r="K26" i="9"/>
  <c r="E26" i="9"/>
  <c r="H26" i="9"/>
  <c r="G26" i="9"/>
  <c r="I26" i="9"/>
  <c r="J26" i="9"/>
  <c r="F26" i="9"/>
  <c r="H28" i="9"/>
  <c r="I28" i="9"/>
  <c r="K28" i="9"/>
  <c r="G28" i="9"/>
  <c r="E28" i="9"/>
  <c r="F28" i="9"/>
  <c r="J28" i="9"/>
  <c r="I67" i="1"/>
  <c r="I73" i="1" s="1"/>
</calcChain>
</file>

<file path=xl/sharedStrings.xml><?xml version="1.0" encoding="utf-8"?>
<sst xmlns="http://schemas.openxmlformats.org/spreadsheetml/2006/main" count="206" uniqueCount="155">
  <si>
    <t>Item</t>
  </si>
  <si>
    <t>Number</t>
  </si>
  <si>
    <t>No. Head</t>
  </si>
  <si>
    <t>Total Revenue</t>
  </si>
  <si>
    <t>Unit</t>
  </si>
  <si>
    <t>Quantity</t>
  </si>
  <si>
    <t>Veterinary</t>
  </si>
  <si>
    <t>Overhead</t>
  </si>
  <si>
    <t>As % of Ewes</t>
  </si>
  <si>
    <t>Ewes</t>
  </si>
  <si>
    <t>Ram</t>
  </si>
  <si>
    <t>Ewes culled</t>
  </si>
  <si>
    <t xml:space="preserve">Total </t>
  </si>
  <si>
    <t>Lambs available for sale</t>
  </si>
  <si>
    <t>Fleece lambs</t>
  </si>
  <si>
    <t>Useful life (years)</t>
  </si>
  <si>
    <t>Ewe</t>
  </si>
  <si>
    <t>Posts (treated)</t>
  </si>
  <si>
    <t>Watering system(trough, hose and float)</t>
  </si>
  <si>
    <t>Animals</t>
  </si>
  <si>
    <t>Machinery</t>
  </si>
  <si>
    <t>Equipment and Tools</t>
  </si>
  <si>
    <t>Building and Fencing</t>
  </si>
  <si>
    <t>Wheel barrow</t>
  </si>
  <si>
    <t>Hand Shears</t>
  </si>
  <si>
    <t>Drenching gun(metal)</t>
  </si>
  <si>
    <t>Elastrator</t>
  </si>
  <si>
    <t>Ear tag applicator</t>
  </si>
  <si>
    <t>Pitchfork and shovels</t>
  </si>
  <si>
    <t>Depreciation</t>
  </si>
  <si>
    <t>Annual</t>
  </si>
  <si>
    <t>Interest</t>
  </si>
  <si>
    <t>Total Equipment and Tools</t>
  </si>
  <si>
    <t>Total Machinery</t>
  </si>
  <si>
    <t>Total Cost</t>
  </si>
  <si>
    <t>number</t>
  </si>
  <si>
    <t>Total Building and Fencing</t>
  </si>
  <si>
    <t>wood panels</t>
  </si>
  <si>
    <t>Feeders (wooden)</t>
  </si>
  <si>
    <t>Vehicle Insurance</t>
  </si>
  <si>
    <t>Overhead Charges</t>
  </si>
  <si>
    <t>bails</t>
  </si>
  <si>
    <t>sacs</t>
  </si>
  <si>
    <t>Deworming adults</t>
  </si>
  <si>
    <t>Deworming lambs</t>
  </si>
  <si>
    <t>25 cc</t>
  </si>
  <si>
    <t>10 cc</t>
  </si>
  <si>
    <t>8 way Vaccine adults</t>
  </si>
  <si>
    <t>8 way Vaccine lambs</t>
  </si>
  <si>
    <t>Fuel</t>
  </si>
  <si>
    <t>Interest rate</t>
  </si>
  <si>
    <t>Electricity charge</t>
  </si>
  <si>
    <t>Lbs</t>
  </si>
  <si>
    <t>Rams culled</t>
  </si>
  <si>
    <t>Repair &amp; Maint.</t>
  </si>
  <si>
    <t>Total Repair and Maintenance</t>
  </si>
  <si>
    <t>heads</t>
  </si>
  <si>
    <t>Replacement ewe lambs</t>
  </si>
  <si>
    <t>Quantity/head</t>
  </si>
  <si>
    <t>Lambs weaned</t>
  </si>
  <si>
    <t>acres</t>
  </si>
  <si>
    <t>Total Quantity</t>
  </si>
  <si>
    <t>sac (44 lb)</t>
  </si>
  <si>
    <t>times</t>
  </si>
  <si>
    <t>Ewe death rate (loss)</t>
  </si>
  <si>
    <t>Pre weaning lamb mortalities</t>
  </si>
  <si>
    <t>Fees, permits and other payments</t>
  </si>
  <si>
    <t>SHEEP PRODUCTIVITY INFORMATION</t>
  </si>
  <si>
    <t>Hay (ewes and ram)</t>
  </si>
  <si>
    <t>Grain (ewes and lambs)</t>
  </si>
  <si>
    <t>Minerals (ewes)</t>
  </si>
  <si>
    <t>Salt (ewes)</t>
  </si>
  <si>
    <t>Calcium Flour (ewes)</t>
  </si>
  <si>
    <t>Butchering (lambs)</t>
  </si>
  <si>
    <t>Contract transportation (lambs)</t>
  </si>
  <si>
    <t xml:space="preserve">Ermias Afeworki, Wallapak Polasub, Caroline Chiu and Kent Mullinix
Institute for Sustainable Food Systems, Kwantlen Polytechnic University
 12666 72 Avenue - Surrey, B.C. V3W 2M8, CANADA 
Email: Kent.Mullinix@kpu.ca   Phone: +1 604-599-2000
This project was generously funded by Vancouver City Savings Credit Union  
</t>
  </si>
  <si>
    <t>Lamb Enterprise Budget, 20 Ewes, Southwest British Columbia</t>
  </si>
  <si>
    <t>Fertility rate (lambs born)</t>
  </si>
  <si>
    <t xml:space="preserve">Pasture management </t>
  </si>
  <si>
    <t>pounds</t>
  </si>
  <si>
    <t>Cull ewes</t>
  </si>
  <si>
    <t>Cull rams</t>
  </si>
  <si>
    <t>Fleece adults</t>
  </si>
  <si>
    <t>Annual Fixed Cost Calculation</t>
  </si>
  <si>
    <t>Land rent</t>
  </si>
  <si>
    <t>Water charge</t>
  </si>
  <si>
    <t>$/unit</t>
  </si>
  <si>
    <t>Total cost</t>
  </si>
  <si>
    <t>Trade-in or cull value</t>
  </si>
  <si>
    <t>Annual insurance</t>
  </si>
  <si>
    <t>Annual fixed cost</t>
  </si>
  <si>
    <t>158' rolls</t>
  </si>
  <si>
    <t>330' rolls</t>
  </si>
  <si>
    <t>Interior fence</t>
  </si>
  <si>
    <t>110 volt</t>
  </si>
  <si>
    <t xml:space="preserve">Solar battery or plug-in </t>
  </si>
  <si>
    <t>Perimeter fence</t>
  </si>
  <si>
    <t>Lambing pens</t>
  </si>
  <si>
    <t>36' X 48'</t>
  </si>
  <si>
    <t xml:space="preserve">12' X 20' </t>
  </si>
  <si>
    <t>Ventilated poly house -  barn</t>
  </si>
  <si>
    <t>Woven polly - portable shelter</t>
  </si>
  <si>
    <t>Foot trimmer</t>
  </si>
  <si>
    <t>30HP (new)</t>
  </si>
  <si>
    <t>used</t>
  </si>
  <si>
    <t xml:space="preserve">Truck </t>
  </si>
  <si>
    <t xml:space="preserve">Tractor with loader </t>
  </si>
  <si>
    <t>Market lambs</t>
  </si>
  <si>
    <t>hours</t>
  </si>
  <si>
    <t>head</t>
  </si>
  <si>
    <t>Labour</t>
  </si>
  <si>
    <t xml:space="preserve">Lambing </t>
  </si>
  <si>
    <t>Shearing ewes</t>
  </si>
  <si>
    <t>Shearing ram</t>
  </si>
  <si>
    <t>Total labour cost</t>
  </si>
  <si>
    <t>Total feed cost</t>
  </si>
  <si>
    <t xml:space="preserve">Miscellaneous </t>
  </si>
  <si>
    <t xml:space="preserve">Sensitivity Analysis </t>
  </si>
  <si>
    <t xml:space="preserve">(Value of Production less Total Costs as Price and Yield Vary) </t>
  </si>
  <si>
    <t>Decrease</t>
  </si>
  <si>
    <t>Increase</t>
  </si>
  <si>
    <t>MINUS</t>
  </si>
  <si>
    <t>PLUS</t>
  </si>
  <si>
    <t>Breakeven Analysis</t>
  </si>
  <si>
    <t xml:space="preserve">(Yield as Total Cost and Price Vary) </t>
  </si>
  <si>
    <t>Total miscellaneous cost</t>
  </si>
  <si>
    <t>Building and fencing</t>
  </si>
  <si>
    <t>Equipment and tools</t>
  </si>
  <si>
    <t>ANNUAL FIXED COST</t>
  </si>
  <si>
    <t>ANNUAL VARIABLE COST</t>
  </si>
  <si>
    <t>REVENUE</t>
  </si>
  <si>
    <t>TOTAL FIXED COST</t>
  </si>
  <si>
    <t>TOTAL VARIABLE AND FIXED COST</t>
  </si>
  <si>
    <t>Quantity/Head</t>
  </si>
  <si>
    <t>TOTAL VARIABLE COST</t>
  </si>
  <si>
    <t>NET RETURN</t>
  </si>
  <si>
    <t>$/20 ewes</t>
  </si>
  <si>
    <t>$/ewe</t>
  </si>
  <si>
    <t>Per ewe</t>
  </si>
  <si>
    <t>Total overhead</t>
  </si>
  <si>
    <t>($ per 20 ewes)</t>
  </si>
  <si>
    <t>( Yield per 20 ewes)</t>
  </si>
  <si>
    <t>Yield (pounds)</t>
  </si>
  <si>
    <t>Price/pound</t>
  </si>
  <si>
    <t>General</t>
  </si>
  <si>
    <t>$/Unit</t>
  </si>
  <si>
    <t>Interest on working capital</t>
  </si>
  <si>
    <t>RETURNS OVER VARIABLE COST</t>
  </si>
  <si>
    <t>RETURNS OVER FIXED COST</t>
  </si>
  <si>
    <t>RETURNSOVER VARIABLE AND FIXED COST</t>
  </si>
  <si>
    <t>Total veterinary cost</t>
  </si>
  <si>
    <t>Repair and maintenance</t>
  </si>
  <si>
    <t xml:space="preserve">Feed </t>
  </si>
  <si>
    <t>ACKNOWLEDGMENTS</t>
  </si>
  <si>
    <t>The authors would like to express our sincere appreciation to all the farmers who contributed information used to develop this enterprise budget. We would also like to thank Chris Bodnar, co-owner of Close to Home Organics Ltd, and Heather Pritchard, farm program manager at Farm Folk City Folk, for helping us connect with experienced farmers. We would like to recognize Kwantlen Polytechnic University’s Michael Bomford (Sustainable Agriculture &amp; Food Systems) and Caitlin Dorward (Institute for Sustainable Food Systems) for their invaluable input to this document. Finally, we would like to acknowledge the financial support provided by Vancouver City Savings Credit Union.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</si>
</sst>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2"/>
      <name val="Calibri"/>
      <family val="2"/>
      <scheme val="minor"/>
    </font>
    <font>
      <b/>
      <sz val="14"/>
      <name val="Calibri"/>
      <family val="2"/>
      <scheme val="minor"/>
    </font>
    <font>
      <b/>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249977111117893"/>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22">
    <xf numFmtId="0" fontId="0" fillId="0" borderId="0" xfId="0"/>
    <xf numFmtId="0" fontId="0" fillId="0" borderId="0" xfId="0" applyFont="1" applyProtection="1"/>
    <xf numFmtId="164" fontId="0" fillId="0" borderId="0" xfId="0" applyNumberFormat="1" applyFont="1" applyProtection="1"/>
    <xf numFmtId="0" fontId="3" fillId="0" borderId="0" xfId="0" applyFont="1" applyFill="1" applyBorder="1" applyAlignment="1" applyProtection="1">
      <alignment horizontal="center"/>
    </xf>
    <xf numFmtId="0" fontId="0" fillId="0" borderId="0" xfId="0" applyFont="1" applyFill="1" applyBorder="1" applyProtection="1"/>
    <xf numFmtId="164" fontId="3" fillId="0" borderId="0" xfId="0" applyNumberFormat="1" applyFont="1" applyFill="1" applyBorder="1" applyAlignment="1" applyProtection="1">
      <alignment horizontal="center"/>
    </xf>
    <xf numFmtId="0" fontId="0" fillId="0" borderId="0" xfId="0" applyFont="1" applyBorder="1" applyProtection="1"/>
    <xf numFmtId="0" fontId="0" fillId="0" borderId="0" xfId="0" applyFont="1" applyBorder="1" applyAlignment="1" applyProtection="1">
      <alignment horizontal="center"/>
    </xf>
    <xf numFmtId="164" fontId="0" fillId="0" borderId="0" xfId="0" applyNumberFormat="1" applyFont="1" applyBorder="1" applyAlignment="1" applyProtection="1">
      <alignment horizontal="center"/>
    </xf>
    <xf numFmtId="0" fontId="0" fillId="0" borderId="7" xfId="0" applyFont="1" applyBorder="1" applyAlignment="1" applyProtection="1">
      <alignment horizontal="center"/>
    </xf>
    <xf numFmtId="0" fontId="0" fillId="2" borderId="10" xfId="0" applyFont="1" applyFill="1" applyBorder="1" applyAlignment="1" applyProtection="1">
      <alignment horizontal="center"/>
    </xf>
    <xf numFmtId="9" fontId="0" fillId="2" borderId="7" xfId="0" applyNumberFormat="1" applyFont="1" applyFill="1" applyBorder="1" applyAlignment="1" applyProtection="1">
      <alignment horizontal="center"/>
    </xf>
    <xf numFmtId="0" fontId="0" fillId="3" borderId="10" xfId="0" applyFont="1" applyFill="1" applyBorder="1" applyAlignment="1" applyProtection="1">
      <alignment horizontal="center"/>
    </xf>
    <xf numFmtId="9" fontId="0" fillId="0" borderId="7" xfId="0" applyNumberFormat="1" applyFont="1" applyFill="1" applyBorder="1" applyAlignment="1" applyProtection="1">
      <alignment horizontal="center"/>
    </xf>
    <xf numFmtId="9" fontId="0" fillId="3" borderId="7" xfId="1" applyFont="1" applyFill="1" applyBorder="1" applyAlignment="1" applyProtection="1">
      <alignment horizontal="center"/>
    </xf>
    <xf numFmtId="9" fontId="0" fillId="3" borderId="22" xfId="1" applyFont="1" applyFill="1" applyBorder="1" applyAlignment="1" applyProtection="1">
      <alignment horizontal="center"/>
    </xf>
    <xf numFmtId="0" fontId="0" fillId="3" borderId="25" xfId="0" applyFont="1" applyFill="1" applyBorder="1" applyAlignment="1" applyProtection="1">
      <alignment horizontal="center"/>
    </xf>
    <xf numFmtId="164" fontId="0" fillId="0" borderId="0" xfId="0" applyNumberFormat="1" applyFont="1" applyBorder="1" applyProtection="1"/>
    <xf numFmtId="1" fontId="0" fillId="3" borderId="7" xfId="0" applyNumberFormat="1" applyFont="1" applyFill="1" applyBorder="1" applyAlignment="1" applyProtection="1">
      <alignment horizontal="center"/>
    </xf>
    <xf numFmtId="0" fontId="0" fillId="2" borderId="7" xfId="0" applyFont="1" applyFill="1" applyBorder="1" applyAlignment="1" applyProtection="1">
      <alignment horizontal="center"/>
    </xf>
    <xf numFmtId="2" fontId="0" fillId="2" borderId="7" xfId="0" applyNumberFormat="1" applyFont="1" applyFill="1" applyBorder="1" applyAlignment="1" applyProtection="1">
      <alignment horizontal="center"/>
    </xf>
    <xf numFmtId="164" fontId="0" fillId="2" borderId="7" xfId="0" applyNumberFormat="1" applyFont="1" applyFill="1" applyBorder="1" applyAlignment="1" applyProtection="1">
      <alignment horizontal="center"/>
    </xf>
    <xf numFmtId="164" fontId="0" fillId="3" borderId="7" xfId="0" applyNumberFormat="1" applyFont="1" applyFill="1" applyBorder="1" applyAlignment="1" applyProtection="1">
      <alignment horizontal="center"/>
    </xf>
    <xf numFmtId="164" fontId="0" fillId="3" borderId="10" xfId="0" applyNumberFormat="1" applyFont="1" applyFill="1" applyBorder="1" applyAlignment="1" applyProtection="1">
      <alignment horizontal="center"/>
    </xf>
    <xf numFmtId="164" fontId="3" fillId="3" borderId="22" xfId="0" applyNumberFormat="1" applyFont="1" applyFill="1" applyBorder="1" applyAlignment="1" applyProtection="1">
      <alignment horizontal="center"/>
    </xf>
    <xf numFmtId="164" fontId="3" fillId="3" borderId="25" xfId="0" applyNumberFormat="1" applyFont="1" applyFill="1" applyBorder="1" applyAlignment="1" applyProtection="1">
      <alignment horizontal="center"/>
    </xf>
    <xf numFmtId="0" fontId="0" fillId="3" borderId="7" xfId="0" applyFont="1" applyFill="1" applyBorder="1" applyAlignment="1" applyProtection="1">
      <alignment horizontal="center"/>
    </xf>
    <xf numFmtId="0" fontId="0" fillId="0" borderId="7" xfId="0" applyFont="1" applyFill="1" applyBorder="1" applyAlignment="1" applyProtection="1">
      <alignment horizontal="center"/>
    </xf>
    <xf numFmtId="164" fontId="0" fillId="0" borderId="7" xfId="0" applyNumberFormat="1" applyFont="1" applyBorder="1" applyAlignment="1" applyProtection="1">
      <alignment horizontal="center"/>
    </xf>
    <xf numFmtId="0" fontId="0" fillId="0" borderId="10" xfId="0" applyFont="1" applyBorder="1" applyAlignment="1" applyProtection="1">
      <alignment horizontal="center"/>
    </xf>
    <xf numFmtId="164" fontId="0" fillId="0" borderId="7" xfId="0" applyNumberFormat="1" applyFont="1" applyFill="1" applyBorder="1" applyAlignment="1" applyProtection="1">
      <alignment horizontal="center"/>
    </xf>
    <xf numFmtId="0" fontId="0" fillId="0" borderId="10" xfId="0" applyFont="1" applyFill="1" applyBorder="1" applyAlignment="1" applyProtection="1">
      <alignment horizontal="center"/>
    </xf>
    <xf numFmtId="0" fontId="0" fillId="0" borderId="22" xfId="0" applyFont="1" applyFill="1" applyBorder="1" applyAlignment="1" applyProtection="1">
      <alignment horizontal="center"/>
    </xf>
    <xf numFmtId="0" fontId="2" fillId="0" borderId="7" xfId="0" applyFont="1" applyBorder="1" applyAlignment="1" applyProtection="1">
      <alignment horizontal="center"/>
    </xf>
    <xf numFmtId="0" fontId="0" fillId="0" borderId="0" xfId="0" applyFont="1" applyFill="1" applyBorder="1" applyAlignment="1" applyProtection="1">
      <alignment horizontal="center"/>
    </xf>
    <xf numFmtId="164" fontId="0" fillId="0" borderId="0" xfId="0" applyNumberFormat="1" applyFont="1" applyFill="1" applyBorder="1" applyAlignment="1" applyProtection="1">
      <alignment horizontal="center"/>
    </xf>
    <xf numFmtId="0" fontId="3" fillId="0" borderId="0" xfId="0" applyFont="1" applyProtection="1"/>
    <xf numFmtId="164" fontId="3" fillId="0" borderId="0" xfId="0" applyNumberFormat="1" applyFont="1" applyProtection="1"/>
    <xf numFmtId="0" fontId="0" fillId="0" borderId="0" xfId="0" applyFont="1" applyAlignment="1" applyProtection="1">
      <alignment horizontal="right"/>
    </xf>
    <xf numFmtId="164" fontId="0" fillId="0" borderId="0" xfId="0" applyNumberFormat="1" applyFont="1" applyAlignment="1" applyProtection="1">
      <alignment horizontal="right"/>
    </xf>
    <xf numFmtId="0" fontId="0" fillId="0" borderId="0" xfId="0" applyNumberFormat="1" applyFont="1" applyProtection="1"/>
    <xf numFmtId="0" fontId="3" fillId="0" borderId="26" xfId="0" applyFont="1" applyBorder="1" applyProtection="1"/>
    <xf numFmtId="0" fontId="3" fillId="0" borderId="16" xfId="0" applyFont="1" applyBorder="1" applyProtection="1"/>
    <xf numFmtId="0" fontId="3" fillId="0" borderId="4" xfId="0" applyFont="1" applyBorder="1" applyAlignment="1" applyProtection="1">
      <alignment horizontal="left"/>
    </xf>
    <xf numFmtId="0" fontId="3" fillId="0" borderId="0" xfId="0" applyFont="1" applyBorder="1" applyProtection="1"/>
    <xf numFmtId="164" fontId="3" fillId="0" borderId="0" xfId="0" applyNumberFormat="1" applyFont="1" applyBorder="1" applyProtection="1"/>
    <xf numFmtId="164" fontId="3" fillId="0" borderId="0" xfId="0" applyNumberFormat="1" applyFont="1" applyBorder="1" applyAlignment="1" applyProtection="1">
      <alignment horizontal="right"/>
    </xf>
    <xf numFmtId="0" fontId="3" fillId="0" borderId="5" xfId="0" applyNumberFormat="1" applyFont="1" applyBorder="1" applyProtection="1"/>
    <xf numFmtId="0" fontId="3" fillId="0" borderId="5" xfId="0" applyFont="1" applyBorder="1" applyProtection="1"/>
    <xf numFmtId="0" fontId="3" fillId="0" borderId="4" xfId="0" applyFont="1" applyBorder="1" applyProtection="1"/>
    <xf numFmtId="9" fontId="0" fillId="2" borderId="24" xfId="0" applyNumberFormat="1" applyFont="1" applyFill="1" applyBorder="1" applyProtection="1"/>
    <xf numFmtId="0" fontId="3" fillId="4" borderId="27" xfId="0" applyFont="1" applyFill="1" applyBorder="1" applyProtection="1"/>
    <xf numFmtId="0" fontId="0" fillId="4" borderId="2" xfId="0" applyFont="1" applyFill="1" applyBorder="1" applyProtection="1"/>
    <xf numFmtId="1" fontId="0" fillId="4" borderId="14" xfId="0" applyNumberFormat="1" applyFont="1" applyFill="1" applyBorder="1" applyAlignment="1" applyProtection="1">
      <alignment horizontal="center"/>
    </xf>
    <xf numFmtId="0" fontId="0" fillId="4" borderId="29" xfId="0" applyFont="1" applyFill="1" applyBorder="1" applyAlignment="1" applyProtection="1">
      <alignment horizontal="center"/>
    </xf>
    <xf numFmtId="164" fontId="0" fillId="4" borderId="29" xfId="0" applyNumberFormat="1" applyFont="1" applyFill="1" applyBorder="1" applyAlignment="1" applyProtection="1">
      <alignment horizontal="center"/>
    </xf>
    <xf numFmtId="0" fontId="0" fillId="4" borderId="30" xfId="0" applyNumberFormat="1" applyFont="1" applyFill="1" applyBorder="1" applyAlignment="1" applyProtection="1">
      <alignment horizontal="center"/>
    </xf>
    <xf numFmtId="0" fontId="0" fillId="4" borderId="30" xfId="0" applyFont="1" applyFill="1" applyBorder="1" applyAlignment="1" applyProtection="1">
      <alignment horizontal="center"/>
    </xf>
    <xf numFmtId="0" fontId="0" fillId="4" borderId="14" xfId="0" applyFont="1" applyFill="1" applyBorder="1" applyAlignment="1" applyProtection="1">
      <alignment horizontal="center"/>
    </xf>
    <xf numFmtId="0" fontId="0" fillId="0" borderId="28" xfId="0" applyFont="1" applyBorder="1" applyProtection="1"/>
    <xf numFmtId="1" fontId="0" fillId="2" borderId="6" xfId="0" applyNumberFormat="1" applyFont="1" applyFill="1" applyBorder="1" applyAlignment="1" applyProtection="1">
      <alignment horizontal="center"/>
    </xf>
    <xf numFmtId="4" fontId="0" fillId="2" borderId="7" xfId="0" applyNumberFormat="1" applyFont="1" applyFill="1" applyBorder="1" applyAlignment="1" applyProtection="1">
      <alignment horizontal="center"/>
    </xf>
    <xf numFmtId="4" fontId="0" fillId="3" borderId="7" xfId="0" applyNumberFormat="1" applyFont="1" applyFill="1" applyBorder="1" applyAlignment="1" applyProtection="1">
      <alignment horizontal="center"/>
    </xf>
    <xf numFmtId="1" fontId="0" fillId="2" borderId="10" xfId="0" applyNumberFormat="1" applyFont="1" applyFill="1" applyBorder="1" applyAlignment="1" applyProtection="1">
      <alignment horizontal="center"/>
    </xf>
    <xf numFmtId="164" fontId="0" fillId="2" borderId="10" xfId="0" applyNumberFormat="1" applyFont="1" applyFill="1" applyBorder="1" applyAlignment="1" applyProtection="1">
      <alignment horizontal="center"/>
    </xf>
    <xf numFmtId="164" fontId="0" fillId="3" borderId="6" xfId="0" applyNumberFormat="1" applyFont="1" applyFill="1" applyBorder="1" applyAlignment="1" applyProtection="1">
      <alignment horizontal="center"/>
    </xf>
    <xf numFmtId="0" fontId="3" fillId="4" borderId="26" xfId="0" applyFont="1" applyFill="1" applyBorder="1" applyProtection="1"/>
    <xf numFmtId="0" fontId="3" fillId="4" borderId="16" xfId="0" applyFont="1" applyFill="1" applyBorder="1" applyProtection="1"/>
    <xf numFmtId="1" fontId="3" fillId="4" borderId="21" xfId="0" applyNumberFormat="1" applyFont="1" applyFill="1" applyBorder="1" applyAlignment="1" applyProtection="1">
      <alignment horizontal="center"/>
    </xf>
    <xf numFmtId="0" fontId="3" fillId="4" borderId="22" xfId="0" applyFont="1" applyFill="1" applyBorder="1" applyAlignment="1" applyProtection="1">
      <alignment horizontal="center"/>
    </xf>
    <xf numFmtId="164" fontId="3" fillId="4" borderId="22" xfId="0" applyNumberFormat="1" applyFont="1" applyFill="1" applyBorder="1" applyAlignment="1" applyProtection="1">
      <alignment horizontal="center"/>
    </xf>
    <xf numFmtId="0" fontId="3" fillId="4" borderId="25" xfId="0" applyNumberFormat="1" applyFont="1" applyFill="1" applyBorder="1" applyAlignment="1" applyProtection="1">
      <alignment horizontal="center"/>
    </xf>
    <xf numFmtId="164" fontId="3" fillId="3" borderId="21" xfId="0" applyNumberFormat="1" applyFont="1" applyFill="1" applyBorder="1" applyAlignment="1" applyProtection="1">
      <alignment horizontal="center"/>
    </xf>
    <xf numFmtId="0" fontId="3" fillId="0" borderId="18" xfId="0" applyFont="1" applyBorder="1" applyAlignment="1" applyProtection="1">
      <alignment horizontal="center"/>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2" fontId="0" fillId="4" borderId="29" xfId="0" applyNumberFormat="1" applyFont="1" applyFill="1" applyBorder="1" applyAlignment="1" applyProtection="1">
      <alignment horizontal="center"/>
    </xf>
    <xf numFmtId="0" fontId="0" fillId="0" borderId="28" xfId="0" applyFont="1" applyFill="1" applyBorder="1" applyProtection="1"/>
    <xf numFmtId="1" fontId="0" fillId="2" borderId="11" xfId="0" applyNumberFormat="1" applyFont="1" applyFill="1" applyBorder="1" applyAlignment="1" applyProtection="1">
      <alignment horizontal="center"/>
    </xf>
    <xf numFmtId="4" fontId="0" fillId="2" borderId="38" xfId="0" applyNumberFormat="1" applyFont="1" applyFill="1" applyBorder="1" applyAlignment="1" applyProtection="1">
      <alignment horizontal="center"/>
    </xf>
    <xf numFmtId="4" fontId="0" fillId="3" borderId="38" xfId="0" applyNumberFormat="1" applyFont="1" applyFill="1" applyBorder="1" applyAlignment="1" applyProtection="1">
      <alignment horizontal="center"/>
    </xf>
    <xf numFmtId="1" fontId="0" fillId="2" borderId="39" xfId="0" applyNumberFormat="1" applyFont="1" applyFill="1" applyBorder="1" applyAlignment="1" applyProtection="1">
      <alignment horizontal="center"/>
    </xf>
    <xf numFmtId="164" fontId="0" fillId="2" borderId="38" xfId="0" applyNumberFormat="1" applyFont="1" applyFill="1" applyBorder="1" applyAlignment="1" applyProtection="1">
      <alignment horizontal="center"/>
    </xf>
    <xf numFmtId="164" fontId="0" fillId="2" borderId="39" xfId="0" applyNumberFormat="1" applyFont="1" applyFill="1" applyBorder="1" applyAlignment="1" applyProtection="1">
      <alignment horizontal="center"/>
    </xf>
    <xf numFmtId="0" fontId="0" fillId="0" borderId="0" xfId="0" applyFont="1" applyBorder="1" applyAlignment="1" applyProtection="1">
      <alignment horizontal="right"/>
    </xf>
    <xf numFmtId="164" fontId="0" fillId="0" borderId="0" xfId="0" applyNumberFormat="1" applyFont="1" applyBorder="1" applyAlignment="1" applyProtection="1">
      <alignment horizontal="right"/>
    </xf>
    <xf numFmtId="0" fontId="0" fillId="0" borderId="0" xfId="0" applyNumberFormat="1" applyFont="1" applyBorder="1" applyProtection="1"/>
    <xf numFmtId="2" fontId="0" fillId="0" borderId="0" xfId="0" applyNumberFormat="1" applyFont="1" applyBorder="1" applyProtection="1"/>
    <xf numFmtId="1" fontId="0" fillId="0" borderId="6" xfId="0" applyNumberFormat="1" applyFont="1" applyFill="1" applyBorder="1" applyAlignment="1" applyProtection="1">
      <alignment horizontal="center"/>
    </xf>
    <xf numFmtId="4" fontId="0" fillId="0" borderId="7" xfId="0" applyNumberFormat="1" applyFont="1" applyFill="1" applyBorder="1" applyAlignment="1" applyProtection="1">
      <alignment horizontal="center"/>
    </xf>
    <xf numFmtId="1" fontId="0" fillId="0" borderId="11" xfId="0" applyNumberFormat="1" applyFont="1" applyFill="1" applyBorder="1" applyAlignment="1" applyProtection="1">
      <alignment horizontal="center"/>
    </xf>
    <xf numFmtId="4" fontId="0" fillId="0" borderId="38" xfId="0" applyNumberFormat="1" applyFont="1" applyFill="1" applyBorder="1" applyAlignment="1" applyProtection="1">
      <alignment horizontal="center"/>
    </xf>
    <xf numFmtId="1" fontId="0" fillId="0" borderId="10" xfId="0" applyNumberFormat="1" applyFont="1" applyFill="1" applyBorder="1" applyAlignment="1" applyProtection="1">
      <alignment horizontal="center"/>
    </xf>
    <xf numFmtId="164" fontId="0" fillId="0" borderId="10" xfId="0" applyNumberFormat="1" applyFont="1" applyFill="1" applyBorder="1" applyAlignment="1" applyProtection="1">
      <alignment horizontal="center"/>
    </xf>
    <xf numFmtId="1" fontId="0" fillId="0" borderId="39" xfId="0" applyNumberFormat="1" applyFont="1" applyFill="1" applyBorder="1" applyAlignment="1" applyProtection="1">
      <alignment horizontal="center"/>
    </xf>
    <xf numFmtId="164" fontId="0" fillId="0" borderId="38" xfId="0" applyNumberFormat="1" applyFont="1" applyFill="1" applyBorder="1" applyAlignment="1" applyProtection="1">
      <alignment horizontal="center"/>
    </xf>
    <xf numFmtId="164" fontId="0" fillId="0" borderId="39" xfId="0" applyNumberFormat="1" applyFont="1" applyFill="1" applyBorder="1" applyAlignment="1" applyProtection="1">
      <alignment horizontal="center"/>
    </xf>
    <xf numFmtId="2" fontId="0" fillId="6" borderId="22" xfId="0" applyNumberFormat="1" applyFont="1" applyFill="1" applyBorder="1" applyAlignment="1" applyProtection="1">
      <alignment horizontal="center"/>
    </xf>
    <xf numFmtId="0" fontId="0" fillId="6" borderId="22" xfId="0" applyFont="1" applyFill="1" applyBorder="1" applyAlignment="1" applyProtection="1">
      <alignment horizontal="center"/>
    </xf>
    <xf numFmtId="164" fontId="3" fillId="6" borderId="22" xfId="0" applyNumberFormat="1" applyFont="1" applyFill="1" applyBorder="1" applyAlignment="1" applyProtection="1">
      <alignment horizontal="center"/>
    </xf>
    <xf numFmtId="164" fontId="3" fillId="6" borderId="25" xfId="0" applyNumberFormat="1" applyFont="1" applyFill="1" applyBorder="1" applyAlignment="1" applyProtection="1">
      <alignment horizontal="center"/>
    </xf>
    <xf numFmtId="0" fontId="3" fillId="5" borderId="35" xfId="0" applyFont="1" applyFill="1" applyBorder="1" applyProtection="1"/>
    <xf numFmtId="164" fontId="0" fillId="2" borderId="12" xfId="0" applyNumberFormat="1" applyFont="1" applyFill="1" applyBorder="1" applyAlignment="1" applyProtection="1">
      <alignment horizontal="center"/>
    </xf>
    <xf numFmtId="164" fontId="0" fillId="3" borderId="12" xfId="0" applyNumberFormat="1" applyFont="1" applyFill="1" applyBorder="1" applyAlignment="1" applyProtection="1">
      <alignment horizontal="center"/>
    </xf>
    <xf numFmtId="164" fontId="0" fillId="3" borderId="13" xfId="0" applyNumberFormat="1" applyFont="1" applyFill="1" applyBorder="1" applyAlignment="1" applyProtection="1">
      <alignment horizontal="center"/>
    </xf>
    <xf numFmtId="0" fontId="0" fillId="0" borderId="0" xfId="0" applyFont="1"/>
    <xf numFmtId="0" fontId="0" fillId="5" borderId="4" xfId="0" applyFont="1" applyFill="1" applyBorder="1"/>
    <xf numFmtId="0" fontId="0" fillId="5" borderId="0" xfId="0" applyFont="1" applyFill="1" applyBorder="1"/>
    <xf numFmtId="0" fontId="0" fillId="5" borderId="41" xfId="0" applyFont="1" applyFill="1" applyBorder="1"/>
    <xf numFmtId="0" fontId="6" fillId="0" borderId="0" xfId="0" applyFont="1" applyBorder="1"/>
    <xf numFmtId="165" fontId="11" fillId="2" borderId="37" xfId="1" applyNumberFormat="1" applyFont="1" applyFill="1" applyBorder="1" applyAlignment="1">
      <alignment horizontal="right"/>
    </xf>
    <xf numFmtId="165" fontId="11" fillId="2" borderId="7" xfId="0" applyNumberFormat="1" applyFont="1" applyFill="1" applyBorder="1" applyAlignment="1">
      <alignment horizontal="right"/>
    </xf>
    <xf numFmtId="0" fontId="11" fillId="0" borderId="0" xfId="0" applyFont="1" applyBorder="1" applyAlignment="1">
      <alignment horizontal="center"/>
    </xf>
    <xf numFmtId="165" fontId="11" fillId="2" borderId="10" xfId="0" applyNumberFormat="1" applyFont="1" applyFill="1" applyBorder="1" applyAlignment="1">
      <alignment horizontal="right"/>
    </xf>
    <xf numFmtId="0" fontId="0" fillId="5" borderId="23" xfId="0" applyFont="1" applyFill="1" applyBorder="1"/>
    <xf numFmtId="0" fontId="0" fillId="5" borderId="36" xfId="0" applyFont="1" applyFill="1" applyBorder="1"/>
    <xf numFmtId="0" fontId="0" fillId="5" borderId="45" xfId="0" applyFont="1" applyFill="1" applyBorder="1"/>
    <xf numFmtId="164" fontId="0" fillId="7" borderId="45" xfId="0" applyNumberFormat="1" applyFont="1" applyFill="1" applyBorder="1" applyAlignment="1">
      <alignment horizontal="center"/>
    </xf>
    <xf numFmtId="164" fontId="0" fillId="7" borderId="12" xfId="0" applyNumberFormat="1" applyFont="1" applyFill="1" applyBorder="1" applyAlignment="1">
      <alignment horizontal="center"/>
    </xf>
    <xf numFmtId="164" fontId="0" fillId="7" borderId="7" xfId="0" applyNumberFormat="1" applyFont="1" applyFill="1" applyBorder="1" applyAlignment="1">
      <alignment horizontal="center"/>
    </xf>
    <xf numFmtId="164" fontId="0" fillId="7" borderId="13" xfId="0" applyNumberFormat="1" applyFont="1" applyFill="1" applyBorder="1" applyAlignment="1">
      <alignment horizontal="center"/>
    </xf>
    <xf numFmtId="9" fontId="3" fillId="2" borderId="12" xfId="0" applyNumberFormat="1" applyFont="1" applyFill="1" applyBorder="1"/>
    <xf numFmtId="4" fontId="0" fillId="7" borderId="45" xfId="0" applyNumberFormat="1" applyFont="1" applyFill="1" applyBorder="1"/>
    <xf numFmtId="8" fontId="0" fillId="3" borderId="7" xfId="0" applyNumberFormat="1" applyFont="1" applyFill="1" applyBorder="1" applyAlignment="1">
      <alignment horizontal="center"/>
    </xf>
    <xf numFmtId="8" fontId="0" fillId="3" borderId="10" xfId="0" applyNumberFormat="1" applyFont="1" applyFill="1" applyBorder="1" applyAlignment="1">
      <alignment horizontal="center"/>
    </xf>
    <xf numFmtId="9" fontId="11" fillId="2" borderId="7" xfId="0" applyNumberFormat="1" applyFont="1" applyFill="1" applyBorder="1" applyAlignment="1">
      <alignment horizontal="right"/>
    </xf>
    <xf numFmtId="4" fontId="0" fillId="7" borderId="37" xfId="0" applyNumberFormat="1" applyFont="1" applyFill="1" applyBorder="1"/>
    <xf numFmtId="0" fontId="0" fillId="0" borderId="4" xfId="0" applyFont="1" applyBorder="1"/>
    <xf numFmtId="0" fontId="11" fillId="0" borderId="0" xfId="0" applyFont="1" applyBorder="1" applyAlignment="1">
      <alignment horizontal="left"/>
    </xf>
    <xf numFmtId="4" fontId="0" fillId="7" borderId="7" xfId="0" applyNumberFormat="1" applyFont="1" applyFill="1" applyBorder="1"/>
    <xf numFmtId="165" fontId="11" fillId="2" borderId="22" xfId="0" applyNumberFormat="1" applyFont="1" applyFill="1" applyBorder="1" applyAlignment="1">
      <alignment horizontal="right"/>
    </xf>
    <xf numFmtId="4" fontId="0" fillId="7" borderId="46" xfId="0" applyNumberFormat="1" applyFont="1" applyFill="1" applyBorder="1"/>
    <xf numFmtId="8" fontId="0" fillId="3" borderId="22" xfId="0" applyNumberFormat="1" applyFont="1" applyFill="1" applyBorder="1" applyAlignment="1">
      <alignment horizontal="center"/>
    </xf>
    <xf numFmtId="8" fontId="0" fillId="3" borderId="25" xfId="0" applyNumberFormat="1" applyFont="1" applyFill="1" applyBorder="1" applyAlignment="1">
      <alignment horizontal="center"/>
    </xf>
    <xf numFmtId="0" fontId="11" fillId="0" borderId="0" xfId="0" applyFont="1" applyAlignment="1">
      <alignment horizontal="center"/>
    </xf>
    <xf numFmtId="0" fontId="0" fillId="5" borderId="47" xfId="0" applyFont="1" applyFill="1" applyBorder="1"/>
    <xf numFmtId="165" fontId="3" fillId="2" borderId="7" xfId="0" applyNumberFormat="1" applyFont="1" applyFill="1" applyBorder="1"/>
    <xf numFmtId="164" fontId="0" fillId="7" borderId="45" xfId="0" applyNumberFormat="1" applyFont="1" applyFill="1" applyBorder="1"/>
    <xf numFmtId="3" fontId="0" fillId="3" borderId="7" xfId="0" applyNumberFormat="1" applyFont="1" applyFill="1" applyBorder="1" applyAlignment="1">
      <alignment horizontal="center"/>
    </xf>
    <xf numFmtId="3" fontId="0" fillId="3" borderId="10" xfId="0" applyNumberFormat="1" applyFont="1" applyFill="1" applyBorder="1" applyAlignment="1">
      <alignment horizontal="center"/>
    </xf>
    <xf numFmtId="164" fontId="0" fillId="7" borderId="37" xfId="0" applyNumberFormat="1" applyFont="1" applyFill="1" applyBorder="1"/>
    <xf numFmtId="164" fontId="0" fillId="7" borderId="7" xfId="0" applyNumberFormat="1" applyFont="1" applyFill="1" applyBorder="1"/>
    <xf numFmtId="164" fontId="0" fillId="7" borderId="46" xfId="0" applyNumberFormat="1" applyFont="1" applyFill="1" applyBorder="1"/>
    <xf numFmtId="3" fontId="0" fillId="3" borderId="22" xfId="0" applyNumberFormat="1" applyFont="1" applyFill="1" applyBorder="1" applyAlignment="1">
      <alignment horizontal="center"/>
    </xf>
    <xf numFmtId="3" fontId="0" fillId="3" borderId="25" xfId="0" applyNumberFormat="1" applyFont="1" applyFill="1" applyBorder="1" applyAlignment="1">
      <alignment horizontal="center"/>
    </xf>
    <xf numFmtId="0" fontId="0" fillId="6" borderId="48" xfId="0" applyFont="1" applyFill="1" applyBorder="1" applyAlignment="1" applyProtection="1">
      <alignment horizontal="center"/>
    </xf>
    <xf numFmtId="0" fontId="3" fillId="0" borderId="0" xfId="0" applyFont="1" applyFill="1" applyBorder="1" applyProtection="1"/>
    <xf numFmtId="0" fontId="0" fillId="0" borderId="0" xfId="0" applyFont="1" applyFill="1" applyProtection="1"/>
    <xf numFmtId="0" fontId="5" fillId="0" borderId="0" xfId="0" applyFont="1" applyFill="1" applyBorder="1" applyAlignment="1" applyProtection="1">
      <alignment horizontal="center" vertical="top" wrapText="1"/>
      <protection locked="0"/>
    </xf>
    <xf numFmtId="0" fontId="0" fillId="6" borderId="7" xfId="0" applyFont="1" applyFill="1" applyBorder="1" applyAlignment="1" applyProtection="1">
      <alignment horizontal="center"/>
    </xf>
    <xf numFmtId="0" fontId="0" fillId="5" borderId="2" xfId="0" applyFont="1" applyFill="1" applyBorder="1" applyProtection="1"/>
    <xf numFmtId="0" fontId="0" fillId="5" borderId="3" xfId="0" applyFont="1" applyFill="1" applyBorder="1" applyProtection="1"/>
    <xf numFmtId="0" fontId="3" fillId="5" borderId="7" xfId="0" applyFont="1" applyFill="1" applyBorder="1" applyAlignment="1" applyProtection="1">
      <alignment horizontal="center"/>
    </xf>
    <xf numFmtId="164" fontId="3" fillId="5" borderId="7" xfId="0" applyNumberFormat="1" applyFont="1" applyFill="1" applyBorder="1" applyAlignment="1" applyProtection="1">
      <alignment horizontal="center"/>
    </xf>
    <xf numFmtId="0" fontId="3" fillId="5" borderId="12" xfId="0" applyFont="1" applyFill="1" applyBorder="1" applyAlignment="1" applyProtection="1">
      <alignment horizontal="center"/>
    </xf>
    <xf numFmtId="164" fontId="3" fillId="5" borderId="12" xfId="0" applyNumberFormat="1" applyFont="1" applyFill="1" applyBorder="1" applyAlignment="1" applyProtection="1">
      <alignment horizontal="center"/>
    </xf>
    <xf numFmtId="0" fontId="0" fillId="5" borderId="42" xfId="0" applyFont="1" applyFill="1" applyBorder="1" applyProtection="1"/>
    <xf numFmtId="0" fontId="0" fillId="5" borderId="44" xfId="0" applyFont="1" applyFill="1" applyBorder="1" applyProtection="1"/>
    <xf numFmtId="0" fontId="3" fillId="5" borderId="1" xfId="0" applyFont="1" applyFill="1" applyBorder="1" applyProtection="1"/>
    <xf numFmtId="0" fontId="3" fillId="5" borderId="27" xfId="0" applyFont="1" applyFill="1" applyBorder="1" applyProtection="1"/>
    <xf numFmtId="0" fontId="3" fillId="5" borderId="3" xfId="0" applyFont="1" applyFill="1" applyBorder="1" applyProtection="1"/>
    <xf numFmtId="0" fontId="0" fillId="0" borderId="6" xfId="0" applyFont="1" applyBorder="1" applyProtection="1"/>
    <xf numFmtId="0" fontId="0" fillId="0" borderId="21" xfId="0" applyFont="1" applyBorder="1" applyProtection="1"/>
    <xf numFmtId="4" fontId="3" fillId="3" borderId="7" xfId="0" applyNumberFormat="1" applyFont="1" applyFill="1" applyBorder="1" applyAlignment="1" applyProtection="1">
      <alignment horizontal="center"/>
    </xf>
    <xf numFmtId="0" fontId="3" fillId="6" borderId="21" xfId="0" applyFont="1" applyFill="1" applyBorder="1" applyProtection="1"/>
    <xf numFmtId="0" fontId="3" fillId="5" borderId="4" xfId="0" applyFont="1" applyFill="1" applyBorder="1" applyProtection="1"/>
    <xf numFmtId="0" fontId="3" fillId="5" borderId="13" xfId="0" applyFont="1" applyFill="1" applyBorder="1" applyAlignment="1" applyProtection="1">
      <alignment horizontal="center"/>
    </xf>
    <xf numFmtId="0" fontId="3" fillId="0" borderId="6" xfId="0" applyFont="1" applyFill="1" applyBorder="1" applyProtection="1"/>
    <xf numFmtId="0" fontId="0" fillId="0" borderId="6" xfId="0" applyFont="1" applyFill="1" applyBorder="1" applyAlignment="1" applyProtection="1">
      <alignment horizontal="left" indent="2"/>
    </xf>
    <xf numFmtId="0" fontId="0" fillId="0" borderId="6" xfId="0" applyFont="1" applyFill="1" applyBorder="1" applyAlignment="1" applyProtection="1">
      <alignment horizontal="left"/>
    </xf>
    <xf numFmtId="0" fontId="3" fillId="0" borderId="6" xfId="0" applyFont="1" applyFill="1" applyBorder="1" applyAlignment="1" applyProtection="1">
      <alignment horizontal="left"/>
    </xf>
    <xf numFmtId="4" fontId="0" fillId="3" borderId="10" xfId="0" applyNumberFormat="1" applyFont="1" applyFill="1" applyBorder="1" applyAlignment="1" applyProtection="1">
      <alignment horizontal="center"/>
    </xf>
    <xf numFmtId="0" fontId="0" fillId="0" borderId="6" xfId="0" applyFont="1" applyBorder="1" applyAlignment="1" applyProtection="1">
      <alignment horizontal="left"/>
    </xf>
    <xf numFmtId="4" fontId="3" fillId="3" borderId="10" xfId="0" applyNumberFormat="1" applyFont="1" applyFill="1" applyBorder="1" applyAlignment="1" applyProtection="1">
      <alignment horizontal="center"/>
    </xf>
    <xf numFmtId="0" fontId="3" fillId="0" borderId="21" xfId="0" applyFont="1" applyFill="1" applyBorder="1" applyProtection="1"/>
    <xf numFmtId="4" fontId="3" fillId="3" borderId="22" xfId="0" applyNumberFormat="1" applyFont="1" applyFill="1" applyBorder="1" applyAlignment="1" applyProtection="1">
      <alignment horizontal="center"/>
    </xf>
    <xf numFmtId="4" fontId="3" fillId="3" borderId="25" xfId="0" applyNumberFormat="1" applyFont="1" applyFill="1" applyBorder="1" applyAlignment="1" applyProtection="1">
      <alignment horizontal="center"/>
    </xf>
    <xf numFmtId="0" fontId="3" fillId="5" borderId="6" xfId="0" applyFont="1" applyFill="1" applyBorder="1" applyProtection="1"/>
    <xf numFmtId="0" fontId="3" fillId="5" borderId="7" xfId="0" applyFont="1" applyFill="1" applyBorder="1" applyProtection="1"/>
    <xf numFmtId="0" fontId="3" fillId="5" borderId="10" xfId="0" applyFont="1" applyFill="1" applyBorder="1" applyProtection="1"/>
    <xf numFmtId="0" fontId="0" fillId="5" borderId="2" xfId="0" applyFont="1" applyFill="1" applyBorder="1" applyAlignment="1" applyProtection="1">
      <alignment horizontal="center"/>
    </xf>
    <xf numFmtId="164" fontId="0" fillId="5" borderId="2" xfId="0" applyNumberFormat="1" applyFont="1" applyFill="1" applyBorder="1" applyAlignment="1" applyProtection="1">
      <alignment horizontal="center"/>
    </xf>
    <xf numFmtId="0" fontId="0" fillId="5" borderId="3" xfId="0" applyFont="1" applyFill="1" applyBorder="1" applyAlignment="1" applyProtection="1">
      <alignment horizontal="center"/>
    </xf>
    <xf numFmtId="0" fontId="0" fillId="5" borderId="7" xfId="0" applyFont="1" applyFill="1" applyBorder="1" applyAlignment="1" applyProtection="1">
      <alignment horizontal="center"/>
    </xf>
    <xf numFmtId="0" fontId="3" fillId="5" borderId="10" xfId="0" applyFont="1" applyFill="1" applyBorder="1" applyAlignment="1" applyProtection="1">
      <alignment horizontal="center"/>
    </xf>
    <xf numFmtId="0" fontId="0" fillId="6" borderId="6" xfId="0" applyFont="1" applyFill="1" applyBorder="1" applyAlignment="1" applyProtection="1">
      <alignment horizontal="left"/>
    </xf>
    <xf numFmtId="0" fontId="3" fillId="6" borderId="7" xfId="0" applyFont="1" applyFill="1" applyBorder="1" applyAlignment="1" applyProtection="1">
      <alignment horizontal="center"/>
    </xf>
    <xf numFmtId="0" fontId="0" fillId="0" borderId="38" xfId="0" applyFont="1" applyBorder="1" applyAlignment="1" applyProtection="1">
      <alignment horizontal="center"/>
    </xf>
    <xf numFmtId="4" fontId="0" fillId="3" borderId="39" xfId="0" applyNumberFormat="1" applyFont="1" applyFill="1" applyBorder="1" applyAlignment="1" applyProtection="1">
      <alignment horizontal="center"/>
    </xf>
    <xf numFmtId="0" fontId="3" fillId="6" borderId="34" xfId="0" applyFont="1" applyFill="1" applyBorder="1" applyProtection="1"/>
    <xf numFmtId="4" fontId="3" fillId="6" borderId="48" xfId="0" applyNumberFormat="1" applyFont="1" applyFill="1" applyBorder="1" applyAlignment="1" applyProtection="1">
      <alignment horizontal="center"/>
    </xf>
    <xf numFmtId="4" fontId="3" fillId="6" borderId="49" xfId="0" applyNumberFormat="1" applyFont="1" applyFill="1" applyBorder="1" applyAlignment="1" applyProtection="1">
      <alignment horizontal="center"/>
    </xf>
    <xf numFmtId="0" fontId="3" fillId="6" borderId="31" xfId="0" applyFont="1" applyFill="1" applyBorder="1" applyProtection="1"/>
    <xf numFmtId="0" fontId="0" fillId="6" borderId="32" xfId="0" applyFont="1" applyFill="1" applyBorder="1" applyAlignment="1" applyProtection="1">
      <alignment horizontal="center"/>
    </xf>
    <xf numFmtId="4" fontId="3" fillId="6" borderId="32" xfId="0" applyNumberFormat="1" applyFont="1" applyFill="1" applyBorder="1" applyAlignment="1" applyProtection="1">
      <alignment horizontal="center"/>
    </xf>
    <xf numFmtId="4" fontId="3" fillId="6" borderId="33" xfId="0" applyNumberFormat="1" applyFont="1" applyFill="1" applyBorder="1" applyAlignment="1" applyProtection="1">
      <alignment horizontal="center"/>
    </xf>
    <xf numFmtId="0" fontId="7" fillId="5" borderId="24" xfId="0" applyFont="1" applyFill="1" applyBorder="1" applyAlignment="1" applyProtection="1">
      <alignment wrapText="1"/>
    </xf>
    <xf numFmtId="0" fontId="7" fillId="5" borderId="19"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164" fontId="7" fillId="5" borderId="24" xfId="0" applyNumberFormat="1" applyFont="1" applyFill="1" applyBorder="1" applyAlignment="1" applyProtection="1">
      <alignment horizontal="center" vertical="center" wrapText="1"/>
    </xf>
    <xf numFmtId="0" fontId="7" fillId="5" borderId="24" xfId="0" applyNumberFormat="1" applyFont="1" applyFill="1" applyBorder="1" applyAlignment="1" applyProtection="1">
      <alignment horizontal="center" vertical="center" wrapText="1"/>
    </xf>
    <xf numFmtId="1" fontId="0" fillId="5" borderId="14" xfId="0" applyNumberFormat="1" applyFont="1" applyFill="1" applyBorder="1" applyAlignment="1" applyProtection="1">
      <alignment horizontal="center"/>
    </xf>
    <xf numFmtId="0" fontId="0" fillId="5" borderId="29" xfId="0" applyFont="1" applyFill="1" applyBorder="1" applyAlignment="1" applyProtection="1">
      <alignment horizontal="center"/>
    </xf>
    <xf numFmtId="164" fontId="0" fillId="5" borderId="29" xfId="0" applyNumberFormat="1" applyFont="1" applyFill="1" applyBorder="1" applyAlignment="1" applyProtection="1">
      <alignment horizontal="center"/>
    </xf>
    <xf numFmtId="0" fontId="0" fillId="5" borderId="30" xfId="0" applyNumberFormat="1" applyFont="1" applyFill="1" applyBorder="1" applyAlignment="1" applyProtection="1">
      <alignment horizontal="center"/>
    </xf>
    <xf numFmtId="0" fontId="0" fillId="5" borderId="30" xfId="0" applyFont="1" applyFill="1" applyBorder="1" applyAlignment="1" applyProtection="1">
      <alignment horizontal="center"/>
    </xf>
    <xf numFmtId="0" fontId="0" fillId="5" borderId="14" xfId="0" applyFont="1" applyFill="1" applyBorder="1" applyAlignment="1" applyProtection="1">
      <alignment horizontal="center"/>
    </xf>
    <xf numFmtId="1" fontId="3" fillId="6" borderId="21" xfId="0" applyNumberFormat="1" applyFont="1" applyFill="1" applyBorder="1" applyAlignment="1" applyProtection="1">
      <alignment horizontal="center"/>
    </xf>
    <xf numFmtId="6" fontId="3" fillId="6" borderId="22" xfId="0" applyNumberFormat="1" applyFont="1" applyFill="1" applyBorder="1" applyAlignment="1" applyProtection="1">
      <alignment horizontal="center"/>
    </xf>
    <xf numFmtId="0" fontId="3" fillId="6" borderId="25" xfId="0" applyNumberFormat="1" applyFont="1" applyFill="1" applyBorder="1" applyAlignment="1" applyProtection="1">
      <alignment horizontal="center"/>
    </xf>
    <xf numFmtId="164" fontId="3" fillId="6" borderId="21" xfId="0" applyNumberFormat="1" applyFont="1" applyFill="1" applyBorder="1" applyAlignment="1" applyProtection="1">
      <alignment horizontal="center"/>
    </xf>
    <xf numFmtId="6" fontId="0" fillId="5" borderId="29" xfId="0" applyNumberFormat="1" applyFont="1" applyFill="1" applyBorder="1" applyAlignment="1" applyProtection="1">
      <alignment horizontal="center"/>
    </xf>
    <xf numFmtId="2" fontId="0" fillId="5" borderId="29" xfId="0" applyNumberFormat="1" applyFont="1" applyFill="1" applyBorder="1" applyAlignment="1" applyProtection="1">
      <alignment horizontal="center"/>
    </xf>
    <xf numFmtId="0" fontId="3" fillId="6" borderId="22" xfId="0" applyFont="1" applyFill="1" applyBorder="1" applyAlignment="1" applyProtection="1">
      <alignment horizontal="center"/>
    </xf>
    <xf numFmtId="1" fontId="0" fillId="6" borderId="21" xfId="0" applyNumberFormat="1" applyFont="1" applyFill="1" applyBorder="1" applyAlignment="1" applyProtection="1">
      <alignment horizontal="center"/>
    </xf>
    <xf numFmtId="164" fontId="0" fillId="6" borderId="22" xfId="0" applyNumberFormat="1" applyFont="1" applyFill="1" applyBorder="1" applyAlignment="1" applyProtection="1">
      <alignment horizontal="center"/>
    </xf>
    <xf numFmtId="1" fontId="0" fillId="6" borderId="25" xfId="0" applyNumberFormat="1" applyFont="1" applyFill="1" applyBorder="1" applyAlignment="1" applyProtection="1">
      <alignment horizontal="center"/>
    </xf>
    <xf numFmtId="164" fontId="0" fillId="6" borderId="21" xfId="0" applyNumberFormat="1" applyFont="1" applyFill="1" applyBorder="1" applyAlignment="1" applyProtection="1">
      <alignment horizontal="center"/>
    </xf>
    <xf numFmtId="1" fontId="0" fillId="0" borderId="9" xfId="0" applyNumberFormat="1" applyFont="1" applyFill="1" applyBorder="1" applyAlignment="1" applyProtection="1">
      <alignment horizontal="center"/>
    </xf>
    <xf numFmtId="4" fontId="0" fillId="0" borderId="12" xfId="0" applyNumberFormat="1" applyFont="1" applyFill="1" applyBorder="1" applyAlignment="1" applyProtection="1">
      <alignment horizontal="center"/>
    </xf>
    <xf numFmtId="4" fontId="0" fillId="3" borderId="12" xfId="0" applyNumberFormat="1" applyFont="1" applyFill="1" applyBorder="1" applyAlignment="1" applyProtection="1">
      <alignment horizontal="center"/>
    </xf>
    <xf numFmtId="1" fontId="0" fillId="0" borderId="13" xfId="0" applyNumberFormat="1" applyFont="1" applyFill="1" applyBorder="1" applyAlignment="1" applyProtection="1">
      <alignment horizontal="center"/>
    </xf>
    <xf numFmtId="164" fontId="0" fillId="0" borderId="12" xfId="0" applyNumberFormat="1" applyFont="1" applyFill="1" applyBorder="1" applyAlignment="1" applyProtection="1">
      <alignment horizontal="center"/>
    </xf>
    <xf numFmtId="164" fontId="0" fillId="0" borderId="13" xfId="0" applyNumberFormat="1" applyFont="1" applyFill="1" applyBorder="1" applyAlignment="1" applyProtection="1">
      <alignment horizontal="center"/>
    </xf>
    <xf numFmtId="164" fontId="0" fillId="3" borderId="9" xfId="0" applyNumberFormat="1" applyFont="1" applyFill="1" applyBorder="1" applyAlignment="1" applyProtection="1">
      <alignment horizontal="center"/>
    </xf>
    <xf numFmtId="0" fontId="3" fillId="5" borderId="50" xfId="0" applyFont="1" applyFill="1" applyBorder="1" applyProtection="1"/>
    <xf numFmtId="1" fontId="0" fillId="2" borderId="9" xfId="0" applyNumberFormat="1" applyFont="1" applyFill="1" applyBorder="1" applyAlignment="1" applyProtection="1">
      <alignment horizontal="center"/>
    </xf>
    <xf numFmtId="4" fontId="0" fillId="2" borderId="12" xfId="0" applyNumberFormat="1" applyFont="1" applyFill="1" applyBorder="1" applyAlignment="1" applyProtection="1">
      <alignment horizontal="center"/>
    </xf>
    <xf numFmtId="1" fontId="0" fillId="2" borderId="13" xfId="0" applyNumberFormat="1" applyFont="1" applyFill="1" applyBorder="1" applyAlignment="1" applyProtection="1">
      <alignment horizontal="center"/>
    </xf>
    <xf numFmtId="164" fontId="0" fillId="2" borderId="13" xfId="0" applyNumberFormat="1" applyFont="1" applyFill="1" applyBorder="1" applyAlignment="1" applyProtection="1">
      <alignment horizontal="center"/>
    </xf>
    <xf numFmtId="0" fontId="0" fillId="5" borderId="50" xfId="0" applyFont="1" applyFill="1" applyBorder="1" applyProtection="1"/>
    <xf numFmtId="0" fontId="3" fillId="6" borderId="24" xfId="0" applyFont="1" applyFill="1" applyBorder="1" applyProtection="1"/>
    <xf numFmtId="4" fontId="0" fillId="6" borderId="24" xfId="0" applyNumberFormat="1" applyFont="1" applyFill="1" applyBorder="1" applyAlignment="1" applyProtection="1">
      <alignment horizontal="left"/>
    </xf>
    <xf numFmtId="4" fontId="0" fillId="6" borderId="18" xfId="0" applyNumberFormat="1" applyFont="1" applyFill="1" applyBorder="1" applyAlignment="1" applyProtection="1">
      <alignment horizontal="center"/>
    </xf>
    <xf numFmtId="4" fontId="0" fillId="6" borderId="19" xfId="0" applyNumberFormat="1" applyFont="1" applyFill="1" applyBorder="1" applyAlignment="1" applyProtection="1">
      <alignment horizontal="center"/>
    </xf>
    <xf numFmtId="4" fontId="0" fillId="6" borderId="20" xfId="0" applyNumberFormat="1" applyFont="1" applyFill="1" applyBorder="1" applyAlignment="1" applyProtection="1">
      <alignment horizontal="center"/>
    </xf>
    <xf numFmtId="0" fontId="0" fillId="6" borderId="19" xfId="0" applyFont="1" applyFill="1" applyBorder="1" applyProtection="1"/>
    <xf numFmtId="164" fontId="0" fillId="6" borderId="33" xfId="0" applyNumberFormat="1" applyFont="1" applyFill="1" applyBorder="1" applyAlignment="1" applyProtection="1">
      <alignment horizontal="center"/>
    </xf>
    <xf numFmtId="164" fontId="0" fillId="6" borderId="31" xfId="0" applyNumberFormat="1" applyFont="1" applyFill="1" applyBorder="1" applyAlignment="1" applyProtection="1">
      <alignment horizontal="center"/>
    </xf>
    <xf numFmtId="164" fontId="0" fillId="6" borderId="32" xfId="0" applyNumberFormat="1" applyFont="1" applyFill="1" applyBorder="1" applyAlignment="1" applyProtection="1">
      <alignment horizontal="center"/>
    </xf>
    <xf numFmtId="164" fontId="3" fillId="6" borderId="33" xfId="0" applyNumberFormat="1" applyFont="1" applyFill="1" applyBorder="1" applyAlignment="1" applyProtection="1">
      <alignment horizontal="center"/>
    </xf>
    <xf numFmtId="164" fontId="0" fillId="3" borderId="11" xfId="0" applyNumberFormat="1" applyFont="1" applyFill="1" applyBorder="1" applyAlignment="1" applyProtection="1">
      <alignment horizontal="center"/>
    </xf>
    <xf numFmtId="164" fontId="0" fillId="3" borderId="38" xfId="0" applyNumberFormat="1" applyFont="1" applyFill="1" applyBorder="1" applyAlignment="1" applyProtection="1">
      <alignment horizontal="center"/>
    </xf>
    <xf numFmtId="164" fontId="0" fillId="3" borderId="39" xfId="0" applyNumberFormat="1" applyFont="1" applyFill="1" applyBorder="1" applyAlignment="1" applyProtection="1">
      <alignment horizontal="center"/>
    </xf>
    <xf numFmtId="0" fontId="3" fillId="6" borderId="51" xfId="0" applyFont="1" applyFill="1" applyBorder="1" applyProtection="1"/>
    <xf numFmtId="0" fontId="0" fillId="6" borderId="52" xfId="0" applyFont="1" applyFill="1" applyBorder="1" applyProtection="1"/>
    <xf numFmtId="0" fontId="3" fillId="6" borderId="52" xfId="0" applyFont="1" applyFill="1" applyBorder="1" applyProtection="1"/>
    <xf numFmtId="4" fontId="3" fillId="6" borderId="22" xfId="0" applyNumberFormat="1" applyFont="1" applyFill="1" applyBorder="1" applyAlignment="1" applyProtection="1">
      <alignment horizontal="center"/>
    </xf>
    <xf numFmtId="4" fontId="3" fillId="6" borderId="25" xfId="0" applyNumberFormat="1" applyFont="1" applyFill="1" applyBorder="1" applyAlignment="1" applyProtection="1">
      <alignment horizontal="center"/>
    </xf>
    <xf numFmtId="4" fontId="3" fillId="6" borderId="7" xfId="0" applyNumberFormat="1" applyFont="1" applyFill="1" applyBorder="1" applyAlignment="1" applyProtection="1">
      <alignment horizontal="center"/>
    </xf>
    <xf numFmtId="4" fontId="3" fillId="6" borderId="10" xfId="0" applyNumberFormat="1" applyFont="1" applyFill="1" applyBorder="1" applyAlignment="1" applyProtection="1">
      <alignment horizontal="center"/>
    </xf>
    <xf numFmtId="4" fontId="3" fillId="5" borderId="7" xfId="0" applyNumberFormat="1" applyFont="1" applyFill="1" applyBorder="1" applyAlignment="1" applyProtection="1">
      <alignment horizontal="center"/>
    </xf>
    <xf numFmtId="0" fontId="3" fillId="5" borderId="7" xfId="0" applyNumberFormat="1" applyFont="1" applyFill="1" applyBorder="1" applyAlignment="1" applyProtection="1">
      <alignment horizontal="center"/>
    </xf>
    <xf numFmtId="0" fontId="3" fillId="5" borderId="10" xfId="0" applyNumberFormat="1" applyFont="1" applyFill="1" applyBorder="1" applyAlignment="1" applyProtection="1">
      <alignment horizontal="center"/>
    </xf>
    <xf numFmtId="4" fontId="0" fillId="0" borderId="0" xfId="0" applyNumberFormat="1" applyFont="1" applyProtection="1"/>
    <xf numFmtId="4" fontId="5" fillId="0" borderId="0" xfId="0" applyNumberFormat="1" applyFont="1" applyFill="1" applyBorder="1" applyAlignment="1" applyProtection="1">
      <alignment horizontal="center" vertical="top" wrapText="1"/>
      <protection locked="0"/>
    </xf>
    <xf numFmtId="4" fontId="3" fillId="0" borderId="0" xfId="0" applyNumberFormat="1" applyFont="1" applyFill="1" applyBorder="1" applyAlignment="1" applyProtection="1">
      <alignment horizontal="center"/>
    </xf>
    <xf numFmtId="4" fontId="0" fillId="0" borderId="0" xfId="0" applyNumberFormat="1" applyFont="1" applyBorder="1" applyAlignment="1" applyProtection="1">
      <alignment horizontal="center"/>
    </xf>
    <xf numFmtId="4" fontId="0" fillId="0" borderId="0" xfId="0" applyNumberFormat="1" applyFont="1" applyBorder="1" applyProtection="1"/>
    <xf numFmtId="4" fontId="0" fillId="5" borderId="2" xfId="0" applyNumberFormat="1" applyFont="1" applyFill="1" applyBorder="1" applyProtection="1"/>
    <xf numFmtId="4" fontId="0" fillId="6" borderId="22" xfId="0" applyNumberFormat="1" applyFont="1" applyFill="1" applyBorder="1" applyAlignment="1" applyProtection="1">
      <alignment horizontal="center"/>
    </xf>
    <xf numFmtId="4" fontId="0" fillId="5" borderId="42" xfId="0" applyNumberFormat="1" applyFont="1" applyFill="1" applyBorder="1" applyProtection="1"/>
    <xf numFmtId="4" fontId="3" fillId="5" borderId="12" xfId="0" applyNumberFormat="1" applyFont="1" applyFill="1" applyBorder="1" applyAlignment="1" applyProtection="1">
      <alignment horizontal="center"/>
    </xf>
    <xf numFmtId="4" fontId="0" fillId="6" borderId="7" xfId="0" applyNumberFormat="1" applyFont="1" applyFill="1" applyBorder="1" applyAlignment="1" applyProtection="1">
      <alignment horizontal="center"/>
    </xf>
    <xf numFmtId="4" fontId="0" fillId="0" borderId="7" xfId="0" applyNumberFormat="1" applyFont="1" applyBorder="1" applyAlignment="1" applyProtection="1">
      <alignment horizontal="center"/>
    </xf>
    <xf numFmtId="4" fontId="3" fillId="5" borderId="7" xfId="0" applyNumberFormat="1" applyFont="1" applyFill="1" applyBorder="1" applyProtection="1"/>
    <xf numFmtId="4" fontId="2" fillId="0" borderId="7" xfId="0" applyNumberFormat="1" applyFont="1" applyBorder="1" applyAlignment="1" applyProtection="1">
      <alignment horizontal="center"/>
    </xf>
    <xf numFmtId="4" fontId="0" fillId="0" borderId="38" xfId="0" applyNumberFormat="1" applyFont="1" applyBorder="1" applyAlignment="1" applyProtection="1">
      <alignment horizontal="center"/>
    </xf>
    <xf numFmtId="4" fontId="0" fillId="6" borderId="32" xfId="0" applyNumberFormat="1" applyFont="1" applyFill="1" applyBorder="1" applyAlignment="1" applyProtection="1">
      <alignment horizontal="center"/>
    </xf>
    <xf numFmtId="4" fontId="0" fillId="6" borderId="48" xfId="0" applyNumberFormat="1" applyFont="1" applyFill="1" applyBorder="1" applyAlignment="1" applyProtection="1">
      <alignment horizontal="center"/>
    </xf>
    <xf numFmtId="4" fontId="0" fillId="0" borderId="0" xfId="0" applyNumberFormat="1" applyFont="1" applyFill="1" applyBorder="1" applyAlignment="1" applyProtection="1">
      <alignment horizontal="center"/>
    </xf>
    <xf numFmtId="4" fontId="0" fillId="5" borderId="2" xfId="0" applyNumberFormat="1" applyFont="1" applyFill="1" applyBorder="1" applyAlignment="1" applyProtection="1">
      <alignment horizontal="center"/>
    </xf>
    <xf numFmtId="4" fontId="0" fillId="5" borderId="7" xfId="0" applyNumberFormat="1" applyFont="1" applyFill="1" applyBorder="1" applyAlignment="1" applyProtection="1">
      <alignment horizontal="center"/>
    </xf>
    <xf numFmtId="4" fontId="0" fillId="0" borderId="22" xfId="0" applyNumberFormat="1" applyFont="1" applyFill="1" applyBorder="1" applyAlignment="1" applyProtection="1">
      <alignment horizontal="center"/>
    </xf>
    <xf numFmtId="4" fontId="3" fillId="0" borderId="0" xfId="0" applyNumberFormat="1" applyFont="1" applyProtection="1"/>
    <xf numFmtId="10" fontId="0" fillId="2" borderId="7" xfId="0" applyNumberFormat="1" applyFont="1" applyFill="1" applyBorder="1" applyAlignment="1" applyProtection="1">
      <alignment horizontal="center"/>
    </xf>
    <xf numFmtId="0" fontId="0" fillId="0" borderId="11" xfId="0" applyFont="1" applyBorder="1" applyAlignment="1" applyProtection="1">
      <alignment horizontal="left"/>
    </xf>
    <xf numFmtId="0" fontId="0" fillId="0" borderId="0" xfId="0"/>
    <xf numFmtId="0" fontId="7" fillId="0" borderId="0" xfId="0" applyFont="1" applyAlignment="1">
      <alignment horizontal="left" vertical="center"/>
    </xf>
    <xf numFmtId="0" fontId="0" fillId="0" borderId="0" xfId="0" applyAlignment="1">
      <alignment horizontal="left" wrapText="1"/>
    </xf>
    <xf numFmtId="0" fontId="4" fillId="5" borderId="18" xfId="0" quotePrefix="1" applyFont="1" applyFill="1" applyBorder="1" applyAlignment="1">
      <alignment horizontal="center"/>
    </xf>
    <xf numFmtId="0" fontId="4" fillId="5" borderId="19" xfId="0" quotePrefix="1" applyFont="1" applyFill="1" applyBorder="1" applyAlignment="1">
      <alignment horizontal="center"/>
    </xf>
    <xf numFmtId="0" fontId="4" fillId="5" borderId="20" xfId="0" quotePrefix="1" applyFont="1" applyFill="1" applyBorder="1" applyAlignment="1">
      <alignment horizontal="center"/>
    </xf>
    <xf numFmtId="0" fontId="8" fillId="5" borderId="18" xfId="0" applyFont="1" applyFill="1" applyBorder="1" applyAlignment="1" applyProtection="1">
      <alignment horizontal="center" wrapText="1"/>
      <protection locked="0"/>
    </xf>
    <xf numFmtId="0" fontId="8" fillId="5" borderId="19" xfId="0" applyFont="1" applyFill="1" applyBorder="1" applyAlignment="1" applyProtection="1">
      <alignment horizontal="center" wrapText="1"/>
      <protection locked="0"/>
    </xf>
    <xf numFmtId="0" fontId="8" fillId="5" borderId="20" xfId="0" applyFont="1" applyFill="1" applyBorder="1" applyAlignment="1" applyProtection="1">
      <alignment horizontal="center" wrapText="1"/>
      <protection locked="0"/>
    </xf>
    <xf numFmtId="0" fontId="10" fillId="5" borderId="18"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locked="0"/>
    </xf>
    <xf numFmtId="0" fontId="3" fillId="0" borderId="0" xfId="0" applyFont="1" applyBorder="1" applyProtection="1"/>
    <xf numFmtId="0" fontId="4" fillId="5" borderId="19" xfId="0" applyFont="1" applyFill="1" applyBorder="1" applyAlignment="1">
      <alignment horizontal="center"/>
    </xf>
    <xf numFmtId="0" fontId="4" fillId="5" borderId="20" xfId="0" applyFont="1" applyFill="1" applyBorder="1" applyAlignment="1">
      <alignment horizontal="center"/>
    </xf>
    <xf numFmtId="0" fontId="5" fillId="5" borderId="18" xfId="0" applyFont="1" applyFill="1" applyBorder="1" applyAlignment="1" applyProtection="1">
      <alignment horizontal="center" vertical="top" wrapText="1"/>
      <protection locked="0"/>
    </xf>
    <xf numFmtId="0" fontId="5" fillId="5" borderId="19" xfId="0" applyFont="1" applyFill="1" applyBorder="1" applyAlignment="1" applyProtection="1">
      <alignment horizontal="center" vertical="top" wrapText="1"/>
      <protection locked="0"/>
    </xf>
    <xf numFmtId="0" fontId="5" fillId="5" borderId="20" xfId="0" applyFont="1" applyFill="1" applyBorder="1" applyAlignment="1" applyProtection="1">
      <alignment horizontal="center" vertical="top" wrapText="1"/>
      <protection locked="0"/>
    </xf>
    <xf numFmtId="0" fontId="3" fillId="5" borderId="1" xfId="0" applyFont="1" applyFill="1" applyBorder="1" applyProtection="1"/>
    <xf numFmtId="0" fontId="3" fillId="5" borderId="2" xfId="0" applyFont="1" applyFill="1" applyBorder="1" applyProtection="1"/>
    <xf numFmtId="0" fontId="3" fillId="5" borderId="3" xfId="0" applyFont="1" applyFill="1" applyBorder="1" applyProtection="1"/>
    <xf numFmtId="0" fontId="3" fillId="5" borderId="18" xfId="0" applyFont="1" applyFill="1" applyBorder="1" applyAlignment="1" applyProtection="1">
      <alignment horizontal="center"/>
    </xf>
    <xf numFmtId="0" fontId="3" fillId="5" borderId="19" xfId="0" applyFont="1" applyFill="1" applyBorder="1" applyAlignment="1" applyProtection="1">
      <alignment horizontal="center"/>
    </xf>
    <xf numFmtId="0" fontId="3" fillId="5" borderId="20" xfId="0" applyFont="1" applyFill="1" applyBorder="1" applyAlignment="1" applyProtection="1">
      <alignment horizontal="center"/>
    </xf>
    <xf numFmtId="0" fontId="4" fillId="5" borderId="18" xfId="0" applyFont="1" applyFill="1" applyBorder="1" applyAlignment="1">
      <alignment horizontal="center"/>
    </xf>
    <xf numFmtId="0" fontId="4" fillId="5" borderId="18" xfId="0" applyFont="1" applyFill="1" applyBorder="1" applyAlignment="1" applyProtection="1">
      <alignment horizontal="center" wrapText="1"/>
      <protection locked="0"/>
    </xf>
    <xf numFmtId="0" fontId="4" fillId="5" borderId="19" xfId="0" applyFont="1" applyFill="1" applyBorder="1" applyAlignment="1" applyProtection="1">
      <alignment horizontal="center" wrapText="1"/>
      <protection locked="0"/>
    </xf>
    <xf numFmtId="0" fontId="4" fillId="5" borderId="20" xfId="0" applyFont="1" applyFill="1" applyBorder="1" applyAlignment="1" applyProtection="1">
      <alignment horizontal="center" wrapText="1"/>
      <protection locked="0"/>
    </xf>
    <xf numFmtId="0" fontId="7" fillId="5" borderId="18" xfId="0" applyFont="1" applyFill="1" applyBorder="1" applyAlignment="1">
      <alignment horizont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0" fontId="9" fillId="5" borderId="17" xfId="0" applyFont="1" applyFill="1" applyBorder="1" applyAlignment="1">
      <alignment horizontal="center"/>
    </xf>
    <xf numFmtId="0" fontId="6" fillId="5" borderId="40" xfId="0" applyFont="1" applyFill="1" applyBorder="1" applyAlignment="1">
      <alignment horizontal="center"/>
    </xf>
    <xf numFmtId="0" fontId="6" fillId="5" borderId="42" xfId="0" applyFont="1" applyFill="1" applyBorder="1" applyAlignment="1">
      <alignment horizontal="center"/>
    </xf>
    <xf numFmtId="0" fontId="6" fillId="5" borderId="43" xfId="0" applyFont="1" applyFill="1" applyBorder="1" applyAlignment="1">
      <alignment horizontal="center"/>
    </xf>
    <xf numFmtId="0" fontId="6" fillId="5" borderId="44" xfId="0" applyFont="1" applyFill="1" applyBorder="1" applyAlignment="1">
      <alignment horizontal="center"/>
    </xf>
    <xf numFmtId="0" fontId="0" fillId="8" borderId="11" xfId="0" applyFont="1" applyFill="1" applyBorder="1" applyAlignment="1">
      <alignment horizontal="center" textRotation="90"/>
    </xf>
    <xf numFmtId="0" fontId="0" fillId="8" borderId="8" xfId="0" applyFont="1" applyFill="1" applyBorder="1" applyAlignment="1">
      <alignment horizontal="center" textRotation="90"/>
    </xf>
    <xf numFmtId="0" fontId="0" fillId="8" borderId="9" xfId="0" applyFont="1" applyFill="1" applyBorder="1" applyAlignment="1">
      <alignment horizontal="center" textRotation="90"/>
    </xf>
    <xf numFmtId="0" fontId="0" fillId="8" borderId="34" xfId="0" applyFont="1" applyFill="1" applyBorder="1" applyAlignment="1">
      <alignment horizontal="center" textRotation="90"/>
    </xf>
    <xf numFmtId="0" fontId="0" fillId="8" borderId="11" xfId="0" applyFont="1" applyFill="1" applyBorder="1" applyAlignment="1">
      <alignment horizontal="center" textRotation="90" wrapText="1"/>
    </xf>
    <xf numFmtId="0" fontId="0" fillId="8" borderId="8" xfId="0" applyFont="1" applyFill="1" applyBorder="1" applyAlignment="1">
      <alignment horizontal="center" textRotation="90" wrapText="1"/>
    </xf>
    <xf numFmtId="0" fontId="0" fillId="8" borderId="9" xfId="0" applyFont="1" applyFill="1" applyBorder="1" applyAlignment="1">
      <alignment horizontal="center" textRotation="90" wrapText="1"/>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389562</xdr:colOff>
      <xdr:row>15</xdr:row>
      <xdr:rowOff>94905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90500"/>
          <a:ext cx="7704762" cy="2761905"/>
        </a:xfrm>
        <a:prstGeom prst="rect">
          <a:avLst/>
        </a:prstGeom>
      </xdr:spPr>
    </xdr:pic>
    <xdr:clientData/>
  </xdr:twoCellAnchor>
  <xdr:twoCellAnchor>
    <xdr:from>
      <xdr:col>7</xdr:col>
      <xdr:colOff>514350</xdr:colOff>
      <xdr:row>10</xdr:row>
      <xdr:rowOff>9525</xdr:rowOff>
    </xdr:from>
    <xdr:to>
      <xdr:col>12</xdr:col>
      <xdr:colOff>285750</xdr:colOff>
      <xdr:row>15</xdr:row>
      <xdr:rowOff>9525</xdr:rowOff>
    </xdr:to>
    <xdr:sp macro="" textlink="">
      <xdr:nvSpPr>
        <xdr:cNvPr id="3" name="TextBox 2"/>
        <xdr:cNvSpPr txBox="1"/>
      </xdr:nvSpPr>
      <xdr:spPr>
        <a:xfrm>
          <a:off x="4781550" y="1914525"/>
          <a:ext cx="281940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400"/>
        </a:p>
        <a:p>
          <a:pPr algn="r"/>
          <a:r>
            <a:rPr lang="en-US" sz="1400"/>
            <a:t>	February</a:t>
          </a:r>
          <a:r>
            <a:rPr lang="en-US" sz="1400" baseline="0"/>
            <a:t> 2015</a:t>
          </a:r>
        </a:p>
        <a:p>
          <a:pPr algn="r"/>
          <a:endParaRPr lang="en-US" sz="200" baseline="0"/>
        </a:p>
        <a:p>
          <a:pPr algn="r"/>
          <a:r>
            <a:rPr lang="en-US" sz="1400" baseline="0"/>
            <a:t>kpu.ca/isfs</a:t>
          </a:r>
          <a:endParaRPr lang="en-US" sz="1400"/>
        </a:p>
      </xdr:txBody>
    </xdr:sp>
    <xdr:clientData/>
  </xdr:twoCellAnchor>
  <xdr:twoCellAnchor editAs="oneCell">
    <xdr:from>
      <xdr:col>0</xdr:col>
      <xdr:colOff>0</xdr:colOff>
      <xdr:row>17</xdr:row>
      <xdr:rowOff>0</xdr:rowOff>
    </xdr:from>
    <xdr:to>
      <xdr:col>12</xdr:col>
      <xdr:colOff>513372</xdr:colOff>
      <xdr:row>45</xdr:row>
      <xdr:rowOff>113619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3238500"/>
          <a:ext cx="7828572" cy="5447619"/>
        </a:xfrm>
        <a:prstGeom prst="rect">
          <a:avLst/>
        </a:prstGeom>
      </xdr:spPr>
    </xdr:pic>
    <xdr:clientData/>
  </xdr:twoCellAnchor>
  <xdr:twoCellAnchor editAs="oneCell">
    <xdr:from>
      <xdr:col>0</xdr:col>
      <xdr:colOff>0</xdr:colOff>
      <xdr:row>52</xdr:row>
      <xdr:rowOff>0</xdr:rowOff>
    </xdr:from>
    <xdr:to>
      <xdr:col>12</xdr:col>
      <xdr:colOff>522896</xdr:colOff>
      <xdr:row>55</xdr:row>
      <xdr:rowOff>38024</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1239500"/>
          <a:ext cx="7838096" cy="6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8:M50"/>
  <sheetViews>
    <sheetView showGridLines="0" tabSelected="1" topLeftCell="A31" workbookViewId="0">
      <selection activeCell="B63" sqref="B63"/>
    </sheetView>
  </sheetViews>
  <sheetFormatPr defaultRowHeight="15" x14ac:dyDescent="0.25"/>
  <sheetData>
    <row r="48" spans="1:1" ht="15.75" x14ac:dyDescent="0.25">
      <c r="A48" s="278" t="s">
        <v>153</v>
      </c>
    </row>
    <row r="49" spans="1:13" x14ac:dyDescent="0.25">
      <c r="A49" s="277"/>
    </row>
    <row r="50" spans="1:13" ht="93" customHeight="1" x14ac:dyDescent="0.25">
      <c r="A50" s="279" t="s">
        <v>154</v>
      </c>
      <c r="B50" s="279"/>
      <c r="C50" s="279"/>
      <c r="D50" s="279"/>
      <c r="E50" s="279"/>
      <c r="F50" s="279"/>
      <c r="G50" s="279"/>
      <c r="H50" s="279"/>
      <c r="I50" s="279"/>
      <c r="J50" s="279"/>
      <c r="K50" s="279"/>
      <c r="L50" s="279"/>
      <c r="M50" s="279"/>
    </row>
  </sheetData>
  <sheetProtection password="EB59" sheet="1" objects="1" scenarios="1"/>
  <mergeCells count="1">
    <mergeCell ref="A50:M5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47"/>
  <sheetViews>
    <sheetView zoomScale="90" zoomScaleNormal="90" workbookViewId="0">
      <selection activeCell="E5" sqref="E5"/>
    </sheetView>
  </sheetViews>
  <sheetFormatPr defaultRowHeight="15" x14ac:dyDescent="0.25"/>
  <cols>
    <col min="1" max="1" width="9.140625" style="1"/>
    <col min="2" max="2" width="37.5703125" style="1" bestFit="1" customWidth="1"/>
    <col min="3" max="3" width="16.140625" style="1" customWidth="1"/>
    <col min="4" max="4" width="12.5703125" style="38" customWidth="1"/>
    <col min="5" max="5" width="14.140625" style="1" bestFit="1" customWidth="1"/>
    <col min="6" max="6" width="15" style="2" customWidth="1"/>
    <col min="7" max="7" width="16" style="39" bestFit="1" customWidth="1"/>
    <col min="8" max="8" width="20.5703125" style="40" bestFit="1" customWidth="1"/>
    <col min="9" max="9" width="12.140625" style="1" bestFit="1" customWidth="1"/>
    <col min="10" max="10" width="14.5703125" style="1" customWidth="1"/>
    <col min="11" max="11" width="13.7109375" style="1" bestFit="1" customWidth="1"/>
    <col min="12" max="12" width="8.5703125" style="1" bestFit="1" customWidth="1"/>
    <col min="13" max="13" width="14.7109375" style="1" bestFit="1" customWidth="1"/>
    <col min="14" max="16384" width="9.140625" style="1"/>
  </cols>
  <sheetData>
    <row r="1" spans="2:13" ht="15.75" thickBot="1" x14ac:dyDescent="0.3"/>
    <row r="2" spans="2:13" ht="19.5" thickBot="1" x14ac:dyDescent="0.35">
      <c r="B2" s="280" t="s">
        <v>76</v>
      </c>
      <c r="C2" s="281"/>
      <c r="D2" s="281"/>
      <c r="E2" s="281"/>
      <c r="F2" s="281"/>
      <c r="G2" s="281"/>
      <c r="H2" s="281"/>
      <c r="I2" s="281"/>
      <c r="J2" s="281"/>
      <c r="K2" s="281"/>
      <c r="L2" s="281"/>
      <c r="M2" s="282"/>
    </row>
    <row r="3" spans="2:13" ht="100.5" customHeight="1" thickBot="1" x14ac:dyDescent="0.3">
      <c r="B3" s="283" t="s">
        <v>75</v>
      </c>
      <c r="C3" s="284"/>
      <c r="D3" s="284"/>
      <c r="E3" s="284"/>
      <c r="F3" s="284"/>
      <c r="G3" s="284"/>
      <c r="H3" s="284"/>
      <c r="I3" s="284"/>
      <c r="J3" s="284"/>
      <c r="K3" s="284"/>
      <c r="L3" s="284"/>
      <c r="M3" s="285"/>
    </row>
    <row r="4" spans="2:13" ht="19.5" thickBot="1" x14ac:dyDescent="0.3">
      <c r="B4" s="286" t="s">
        <v>83</v>
      </c>
      <c r="C4" s="287"/>
      <c r="D4" s="287"/>
      <c r="E4" s="287"/>
      <c r="F4" s="287"/>
      <c r="G4" s="287"/>
      <c r="H4" s="287"/>
      <c r="I4" s="287"/>
      <c r="J4" s="287"/>
      <c r="K4" s="287"/>
      <c r="L4" s="287"/>
      <c r="M4" s="288"/>
    </row>
    <row r="5" spans="2:13" ht="32.25" thickBot="1" x14ac:dyDescent="0.3">
      <c r="B5" s="196" t="s">
        <v>0</v>
      </c>
      <c r="C5" s="197" t="s">
        <v>4</v>
      </c>
      <c r="D5" s="198" t="s">
        <v>5</v>
      </c>
      <c r="E5" s="198" t="s">
        <v>86</v>
      </c>
      <c r="F5" s="199" t="s">
        <v>87</v>
      </c>
      <c r="G5" s="199" t="s">
        <v>88</v>
      </c>
      <c r="H5" s="200" t="s">
        <v>15</v>
      </c>
      <c r="I5" s="198" t="s">
        <v>54</v>
      </c>
      <c r="J5" s="198" t="s">
        <v>89</v>
      </c>
      <c r="K5" s="198" t="s">
        <v>29</v>
      </c>
      <c r="L5" s="198" t="s">
        <v>31</v>
      </c>
      <c r="M5" s="198" t="s">
        <v>90</v>
      </c>
    </row>
    <row r="6" spans="2:13" ht="15.75" thickBot="1" x14ac:dyDescent="0.3">
      <c r="B6" s="41" t="s">
        <v>50</v>
      </c>
      <c r="C6" s="42"/>
      <c r="D6" s="43"/>
      <c r="E6" s="44"/>
      <c r="F6" s="45"/>
      <c r="G6" s="46"/>
      <c r="H6" s="47"/>
      <c r="I6" s="44"/>
      <c r="J6" s="48"/>
      <c r="K6" s="49"/>
      <c r="L6" s="50">
        <v>0.05</v>
      </c>
      <c r="M6" s="48"/>
    </row>
    <row r="7" spans="2:13" x14ac:dyDescent="0.25">
      <c r="B7" s="225" t="s">
        <v>19</v>
      </c>
      <c r="C7" s="156"/>
      <c r="D7" s="201"/>
      <c r="E7" s="202"/>
      <c r="F7" s="203"/>
      <c r="G7" s="203"/>
      <c r="H7" s="204"/>
      <c r="I7" s="202"/>
      <c r="J7" s="205"/>
      <c r="K7" s="206"/>
      <c r="L7" s="202"/>
      <c r="M7" s="205"/>
    </row>
    <row r="8" spans="2:13" s="36" customFormat="1" x14ac:dyDescent="0.25">
      <c r="B8" s="59" t="s">
        <v>16</v>
      </c>
      <c r="C8" s="6" t="s">
        <v>56</v>
      </c>
      <c r="D8" s="226">
        <v>20</v>
      </c>
      <c r="E8" s="227">
        <v>250</v>
      </c>
      <c r="F8" s="220">
        <f>IF(D8&gt;0, D8*E8, E8)</f>
        <v>5000</v>
      </c>
      <c r="G8" s="227">
        <f>50*D8</f>
        <v>1000</v>
      </c>
      <c r="H8" s="228">
        <v>8</v>
      </c>
      <c r="I8" s="102"/>
      <c r="J8" s="229"/>
      <c r="K8" s="224">
        <f>(F8-G8)/H8</f>
        <v>500</v>
      </c>
      <c r="L8" s="103">
        <f>((F8+G8)/H8)*$L$6</f>
        <v>37.5</v>
      </c>
      <c r="M8" s="104">
        <f>K8+L8</f>
        <v>537.5</v>
      </c>
    </row>
    <row r="9" spans="2:13" x14ac:dyDescent="0.25">
      <c r="B9" s="59" t="s">
        <v>10</v>
      </c>
      <c r="C9" s="6" t="s">
        <v>56</v>
      </c>
      <c r="D9" s="60">
        <v>2</v>
      </c>
      <c r="E9" s="61">
        <v>450</v>
      </c>
      <c r="F9" s="62">
        <f>IF(D9&gt;0, D9*E9, E9)</f>
        <v>900</v>
      </c>
      <c r="G9" s="61">
        <f>200*D9</f>
        <v>400</v>
      </c>
      <c r="H9" s="63">
        <v>8</v>
      </c>
      <c r="I9" s="21"/>
      <c r="J9" s="64"/>
      <c r="K9" s="65">
        <f>(F9-G9)/H9</f>
        <v>62.5</v>
      </c>
      <c r="L9" s="22">
        <f>((F9+G9)/H9)*$L$6</f>
        <v>8.125</v>
      </c>
      <c r="M9" s="23">
        <f>K9+L9</f>
        <v>70.625</v>
      </c>
    </row>
    <row r="10" spans="2:13" ht="15.75" thickBot="1" x14ac:dyDescent="0.3">
      <c r="B10" s="66" t="s">
        <v>12</v>
      </c>
      <c r="C10" s="67"/>
      <c r="D10" s="68"/>
      <c r="E10" s="69"/>
      <c r="F10" s="70"/>
      <c r="G10" s="70"/>
      <c r="H10" s="71"/>
      <c r="I10" s="24">
        <f>SUM(I8:I9)</f>
        <v>0</v>
      </c>
      <c r="J10" s="24">
        <f>SUM(J8:J9)</f>
        <v>0</v>
      </c>
      <c r="K10" s="72"/>
      <c r="L10" s="24"/>
      <c r="M10" s="25">
        <f>SUM(M8:M9)</f>
        <v>608.125</v>
      </c>
    </row>
    <row r="11" spans="2:13" ht="15.75" thickBot="1" x14ac:dyDescent="0.3">
      <c r="B11" s="73"/>
      <c r="C11" s="74"/>
      <c r="D11" s="74"/>
      <c r="E11" s="74"/>
      <c r="F11" s="74"/>
      <c r="G11" s="74"/>
      <c r="H11" s="74"/>
      <c r="I11" s="74"/>
      <c r="J11" s="75"/>
      <c r="K11" s="74"/>
      <c r="L11" s="74"/>
      <c r="M11" s="75"/>
    </row>
    <row r="12" spans="2:13" x14ac:dyDescent="0.25">
      <c r="B12" s="51" t="s">
        <v>22</v>
      </c>
      <c r="C12" s="52"/>
      <c r="D12" s="53"/>
      <c r="E12" s="54"/>
      <c r="F12" s="55"/>
      <c r="G12" s="55"/>
      <c r="H12" s="56"/>
      <c r="I12" s="54"/>
      <c r="J12" s="57"/>
      <c r="K12" s="58"/>
      <c r="L12" s="76"/>
      <c r="M12" s="57"/>
    </row>
    <row r="13" spans="2:13" x14ac:dyDescent="0.25">
      <c r="B13" s="59" t="s">
        <v>93</v>
      </c>
      <c r="C13" s="6" t="s">
        <v>91</v>
      </c>
      <c r="D13" s="60">
        <v>4</v>
      </c>
      <c r="E13" s="61">
        <v>160</v>
      </c>
      <c r="F13" s="62">
        <f>IF(D13&gt;0, D13*E13, E13)</f>
        <v>640</v>
      </c>
      <c r="G13" s="61">
        <v>0</v>
      </c>
      <c r="H13" s="63">
        <v>10</v>
      </c>
      <c r="I13" s="21"/>
      <c r="J13" s="64"/>
      <c r="K13" s="65">
        <f t="shared" ref="K13:K19" si="0">(F13-G13)/H13</f>
        <v>64</v>
      </c>
      <c r="L13" s="22">
        <f t="shared" ref="L13:L18" si="1">((F13+G13)/H13)*$L$6</f>
        <v>3.2</v>
      </c>
      <c r="M13" s="23">
        <f t="shared" ref="M13:M19" si="2">K13+L13</f>
        <v>67.2</v>
      </c>
    </row>
    <row r="14" spans="2:13" x14ac:dyDescent="0.25">
      <c r="B14" s="59" t="s">
        <v>95</v>
      </c>
      <c r="C14" s="6" t="s">
        <v>94</v>
      </c>
      <c r="D14" s="60">
        <v>1</v>
      </c>
      <c r="E14" s="61">
        <v>360</v>
      </c>
      <c r="F14" s="62">
        <f>IF(D14&gt;0, D14*E14, E14)</f>
        <v>360</v>
      </c>
      <c r="G14" s="61">
        <v>0</v>
      </c>
      <c r="H14" s="63">
        <v>10</v>
      </c>
      <c r="I14" s="21"/>
      <c r="J14" s="64"/>
      <c r="K14" s="65">
        <f t="shared" si="0"/>
        <v>36</v>
      </c>
      <c r="L14" s="22">
        <f t="shared" si="1"/>
        <v>1.8</v>
      </c>
      <c r="M14" s="23">
        <f t="shared" si="2"/>
        <v>37.799999999999997</v>
      </c>
    </row>
    <row r="15" spans="2:13" x14ac:dyDescent="0.25">
      <c r="B15" s="59" t="s">
        <v>96</v>
      </c>
      <c r="C15" s="6" t="s">
        <v>92</v>
      </c>
      <c r="D15" s="60">
        <v>7</v>
      </c>
      <c r="E15" s="61">
        <v>150</v>
      </c>
      <c r="F15" s="62">
        <f t="shared" ref="F15:F18" si="3">IF(D15&gt;0, D15*E15, E15)</f>
        <v>1050</v>
      </c>
      <c r="G15" s="61">
        <v>0</v>
      </c>
      <c r="H15" s="63">
        <v>20</v>
      </c>
      <c r="I15" s="21"/>
      <c r="J15" s="64"/>
      <c r="K15" s="65">
        <f t="shared" si="0"/>
        <v>52.5</v>
      </c>
      <c r="L15" s="22">
        <f t="shared" si="1"/>
        <v>2.625</v>
      </c>
      <c r="M15" s="23">
        <f t="shared" si="2"/>
        <v>55.125</v>
      </c>
    </row>
    <row r="16" spans="2:13" x14ac:dyDescent="0.25">
      <c r="B16" s="59" t="s">
        <v>17</v>
      </c>
      <c r="C16" s="6" t="s">
        <v>35</v>
      </c>
      <c r="D16" s="60">
        <v>200</v>
      </c>
      <c r="E16" s="61">
        <v>5</v>
      </c>
      <c r="F16" s="62">
        <f t="shared" si="3"/>
        <v>1000</v>
      </c>
      <c r="G16" s="61">
        <v>0</v>
      </c>
      <c r="H16" s="63">
        <v>20</v>
      </c>
      <c r="I16" s="21"/>
      <c r="J16" s="64"/>
      <c r="K16" s="65">
        <f t="shared" si="0"/>
        <v>50</v>
      </c>
      <c r="L16" s="22">
        <f t="shared" si="1"/>
        <v>2.5</v>
      </c>
      <c r="M16" s="23">
        <f t="shared" si="2"/>
        <v>52.5</v>
      </c>
    </row>
    <row r="17" spans="2:13" x14ac:dyDescent="0.25">
      <c r="B17" s="59" t="s">
        <v>97</v>
      </c>
      <c r="C17" s="6" t="s">
        <v>37</v>
      </c>
      <c r="D17" s="60">
        <v>10</v>
      </c>
      <c r="E17" s="61">
        <v>40</v>
      </c>
      <c r="F17" s="62">
        <f t="shared" si="3"/>
        <v>400</v>
      </c>
      <c r="G17" s="61">
        <v>0</v>
      </c>
      <c r="H17" s="63">
        <v>10</v>
      </c>
      <c r="I17" s="21"/>
      <c r="J17" s="64"/>
      <c r="K17" s="65">
        <f t="shared" si="0"/>
        <v>40</v>
      </c>
      <c r="L17" s="22">
        <f t="shared" si="1"/>
        <v>2</v>
      </c>
      <c r="M17" s="23">
        <f t="shared" si="2"/>
        <v>42</v>
      </c>
    </row>
    <row r="18" spans="2:13" s="36" customFormat="1" x14ac:dyDescent="0.25">
      <c r="B18" s="59" t="s">
        <v>100</v>
      </c>
      <c r="C18" s="6" t="s">
        <v>98</v>
      </c>
      <c r="D18" s="60">
        <v>1</v>
      </c>
      <c r="E18" s="61">
        <v>15000</v>
      </c>
      <c r="F18" s="62">
        <f t="shared" si="3"/>
        <v>15000</v>
      </c>
      <c r="G18" s="61">
        <v>0</v>
      </c>
      <c r="H18" s="63">
        <v>20</v>
      </c>
      <c r="I18" s="21">
        <v>240</v>
      </c>
      <c r="J18" s="64"/>
      <c r="K18" s="65">
        <f t="shared" si="0"/>
        <v>750</v>
      </c>
      <c r="L18" s="22">
        <f t="shared" si="1"/>
        <v>37.5</v>
      </c>
      <c r="M18" s="23">
        <f t="shared" si="2"/>
        <v>787.5</v>
      </c>
    </row>
    <row r="19" spans="2:13" x14ac:dyDescent="0.25">
      <c r="B19" s="59" t="s">
        <v>101</v>
      </c>
      <c r="C19" s="6" t="s">
        <v>99</v>
      </c>
      <c r="D19" s="78">
        <v>1</v>
      </c>
      <c r="E19" s="79">
        <v>1000</v>
      </c>
      <c r="F19" s="80">
        <f>IF(D19&gt;0, D19*E19, E19)</f>
        <v>1000</v>
      </c>
      <c r="G19" s="79">
        <v>0</v>
      </c>
      <c r="H19" s="81">
        <v>5</v>
      </c>
      <c r="I19" s="82"/>
      <c r="J19" s="83"/>
      <c r="K19" s="241">
        <f t="shared" si="0"/>
        <v>200</v>
      </c>
      <c r="L19" s="242">
        <f>((F19+G19)/H19)*$L$6</f>
        <v>10</v>
      </c>
      <c r="M19" s="23">
        <f t="shared" si="2"/>
        <v>210</v>
      </c>
    </row>
    <row r="20" spans="2:13" ht="15.75" thickBot="1" x14ac:dyDescent="0.3">
      <c r="B20" s="244" t="s">
        <v>36</v>
      </c>
      <c r="C20" s="246"/>
      <c r="D20" s="207"/>
      <c r="E20" s="208"/>
      <c r="F20" s="99"/>
      <c r="G20" s="99"/>
      <c r="H20" s="209"/>
      <c r="I20" s="99">
        <f>SUM(I13:I19)</f>
        <v>240</v>
      </c>
      <c r="J20" s="99">
        <f>SUM(J18:J19)</f>
        <v>0</v>
      </c>
      <c r="K20" s="210"/>
      <c r="L20" s="99"/>
      <c r="M20" s="100">
        <f>SUM(M13:M19)</f>
        <v>1252.125</v>
      </c>
    </row>
    <row r="21" spans="2:13" ht="15.75" thickBot="1" x14ac:dyDescent="0.3">
      <c r="B21" s="73"/>
      <c r="C21" s="74"/>
      <c r="D21" s="74"/>
      <c r="E21" s="74"/>
      <c r="F21" s="74"/>
      <c r="G21" s="74"/>
      <c r="H21" s="74"/>
      <c r="I21" s="74"/>
      <c r="J21" s="75"/>
      <c r="K21" s="74"/>
      <c r="L21" s="74"/>
      <c r="M21" s="75"/>
    </row>
    <row r="22" spans="2:13" x14ac:dyDescent="0.25">
      <c r="B22" s="225" t="s">
        <v>21</v>
      </c>
      <c r="C22" s="230"/>
      <c r="D22" s="201"/>
      <c r="E22" s="211"/>
      <c r="F22" s="203"/>
      <c r="G22" s="203"/>
      <c r="H22" s="204"/>
      <c r="I22" s="202"/>
      <c r="J22" s="205"/>
      <c r="K22" s="206"/>
      <c r="L22" s="212"/>
      <c r="M22" s="205"/>
    </row>
    <row r="23" spans="2:13" x14ac:dyDescent="0.25">
      <c r="B23" s="59" t="s">
        <v>38</v>
      </c>
      <c r="C23" s="59" t="s">
        <v>35</v>
      </c>
      <c r="D23" s="226">
        <v>3</v>
      </c>
      <c r="E23" s="227">
        <v>150</v>
      </c>
      <c r="F23" s="220">
        <f>IF(D23&gt;0, D23*E23, E23)</f>
        <v>450</v>
      </c>
      <c r="G23" s="227">
        <v>0</v>
      </c>
      <c r="H23" s="228">
        <v>20</v>
      </c>
      <c r="I23" s="102"/>
      <c r="J23" s="229"/>
      <c r="K23" s="224">
        <f t="shared" ref="K23:K31" si="4">(F23-G23)/H23</f>
        <v>22.5</v>
      </c>
      <c r="L23" s="103">
        <f t="shared" ref="L23:L31" si="5">((F23+G23)/H23)*$L$6</f>
        <v>1.125</v>
      </c>
      <c r="M23" s="104">
        <f t="shared" ref="M23:M31" si="6">K23+L23</f>
        <v>23.625</v>
      </c>
    </row>
    <row r="24" spans="2:13" x14ac:dyDescent="0.25">
      <c r="B24" s="59" t="s">
        <v>18</v>
      </c>
      <c r="C24" s="59" t="s">
        <v>35</v>
      </c>
      <c r="D24" s="60">
        <v>1</v>
      </c>
      <c r="E24" s="61">
        <v>100</v>
      </c>
      <c r="F24" s="62">
        <f t="shared" ref="F24:F31" si="7">IF(D24&gt;0, D24*E24, E24)</f>
        <v>100</v>
      </c>
      <c r="G24" s="61">
        <v>0</v>
      </c>
      <c r="H24" s="63">
        <v>20</v>
      </c>
      <c r="I24" s="21"/>
      <c r="J24" s="64"/>
      <c r="K24" s="65">
        <f t="shared" si="4"/>
        <v>5</v>
      </c>
      <c r="L24" s="22">
        <f t="shared" si="5"/>
        <v>0.25</v>
      </c>
      <c r="M24" s="23">
        <f t="shared" si="6"/>
        <v>5.25</v>
      </c>
    </row>
    <row r="25" spans="2:13" x14ac:dyDescent="0.25">
      <c r="B25" s="59" t="s">
        <v>23</v>
      </c>
      <c r="C25" s="59" t="s">
        <v>35</v>
      </c>
      <c r="D25" s="60">
        <v>2</v>
      </c>
      <c r="E25" s="61">
        <v>100</v>
      </c>
      <c r="F25" s="62">
        <f t="shared" si="7"/>
        <v>200</v>
      </c>
      <c r="G25" s="61">
        <v>0</v>
      </c>
      <c r="H25" s="63">
        <v>10</v>
      </c>
      <c r="I25" s="21"/>
      <c r="J25" s="64"/>
      <c r="K25" s="65">
        <f t="shared" si="4"/>
        <v>20</v>
      </c>
      <c r="L25" s="22">
        <f t="shared" si="5"/>
        <v>1</v>
      </c>
      <c r="M25" s="23">
        <f t="shared" si="6"/>
        <v>21</v>
      </c>
    </row>
    <row r="26" spans="2:13" x14ac:dyDescent="0.25">
      <c r="B26" s="59" t="s">
        <v>24</v>
      </c>
      <c r="C26" s="59" t="s">
        <v>35</v>
      </c>
      <c r="D26" s="60">
        <v>1</v>
      </c>
      <c r="E26" s="61">
        <v>40</v>
      </c>
      <c r="F26" s="62">
        <f t="shared" si="7"/>
        <v>40</v>
      </c>
      <c r="G26" s="61">
        <v>0</v>
      </c>
      <c r="H26" s="63">
        <v>10</v>
      </c>
      <c r="I26" s="21"/>
      <c r="J26" s="64"/>
      <c r="K26" s="65">
        <f t="shared" si="4"/>
        <v>4</v>
      </c>
      <c r="L26" s="22">
        <f t="shared" si="5"/>
        <v>0.2</v>
      </c>
      <c r="M26" s="23">
        <f t="shared" si="6"/>
        <v>4.2</v>
      </c>
    </row>
    <row r="27" spans="2:13" x14ac:dyDescent="0.25">
      <c r="B27" s="59" t="s">
        <v>25</v>
      </c>
      <c r="C27" s="59" t="s">
        <v>35</v>
      </c>
      <c r="D27" s="60">
        <v>1</v>
      </c>
      <c r="E27" s="61">
        <v>60</v>
      </c>
      <c r="F27" s="62">
        <f t="shared" si="7"/>
        <v>60</v>
      </c>
      <c r="G27" s="61">
        <v>0</v>
      </c>
      <c r="H27" s="63">
        <v>5</v>
      </c>
      <c r="I27" s="21"/>
      <c r="J27" s="64"/>
      <c r="K27" s="65">
        <f t="shared" si="4"/>
        <v>12</v>
      </c>
      <c r="L27" s="22">
        <f t="shared" si="5"/>
        <v>0.60000000000000009</v>
      </c>
      <c r="M27" s="23">
        <f t="shared" si="6"/>
        <v>12.6</v>
      </c>
    </row>
    <row r="28" spans="2:13" x14ac:dyDescent="0.25">
      <c r="B28" s="59" t="s">
        <v>102</v>
      </c>
      <c r="C28" s="59" t="s">
        <v>35</v>
      </c>
      <c r="D28" s="60">
        <v>1</v>
      </c>
      <c r="E28" s="61">
        <v>40</v>
      </c>
      <c r="F28" s="62">
        <f>IF(D28&gt;0, D28*E28, E28)</f>
        <v>40</v>
      </c>
      <c r="G28" s="61">
        <v>0</v>
      </c>
      <c r="H28" s="63">
        <v>5</v>
      </c>
      <c r="I28" s="21"/>
      <c r="J28" s="64"/>
      <c r="K28" s="65">
        <f t="shared" si="4"/>
        <v>8</v>
      </c>
      <c r="L28" s="22">
        <f t="shared" si="5"/>
        <v>0.4</v>
      </c>
      <c r="M28" s="23">
        <f t="shared" si="6"/>
        <v>8.4</v>
      </c>
    </row>
    <row r="29" spans="2:13" x14ac:dyDescent="0.25">
      <c r="B29" s="59" t="s">
        <v>26</v>
      </c>
      <c r="C29" s="59" t="s">
        <v>35</v>
      </c>
      <c r="D29" s="60">
        <v>1</v>
      </c>
      <c r="E29" s="61">
        <v>15</v>
      </c>
      <c r="F29" s="62">
        <f t="shared" si="7"/>
        <v>15</v>
      </c>
      <c r="G29" s="61">
        <v>0</v>
      </c>
      <c r="H29" s="63">
        <v>5</v>
      </c>
      <c r="I29" s="21"/>
      <c r="J29" s="64"/>
      <c r="K29" s="65">
        <f t="shared" si="4"/>
        <v>3</v>
      </c>
      <c r="L29" s="22">
        <f t="shared" si="5"/>
        <v>0.15000000000000002</v>
      </c>
      <c r="M29" s="23">
        <f t="shared" si="6"/>
        <v>3.15</v>
      </c>
    </row>
    <row r="30" spans="2:13" s="36" customFormat="1" x14ac:dyDescent="0.25">
      <c r="B30" s="59" t="s">
        <v>27</v>
      </c>
      <c r="C30" s="59" t="s">
        <v>35</v>
      </c>
      <c r="D30" s="60">
        <v>1</v>
      </c>
      <c r="E30" s="61">
        <v>10</v>
      </c>
      <c r="F30" s="62">
        <f t="shared" si="7"/>
        <v>10</v>
      </c>
      <c r="G30" s="61">
        <v>0</v>
      </c>
      <c r="H30" s="63">
        <v>5</v>
      </c>
      <c r="I30" s="21"/>
      <c r="J30" s="64"/>
      <c r="K30" s="65">
        <f t="shared" si="4"/>
        <v>2</v>
      </c>
      <c r="L30" s="22">
        <f t="shared" si="5"/>
        <v>0.1</v>
      </c>
      <c r="M30" s="23">
        <f t="shared" si="6"/>
        <v>2.1</v>
      </c>
    </row>
    <row r="31" spans="2:13" x14ac:dyDescent="0.25">
      <c r="B31" s="59" t="s">
        <v>28</v>
      </c>
      <c r="C31" s="59"/>
      <c r="D31" s="78">
        <v>1</v>
      </c>
      <c r="E31" s="79">
        <v>150</v>
      </c>
      <c r="F31" s="80">
        <f t="shared" si="7"/>
        <v>150</v>
      </c>
      <c r="G31" s="79">
        <v>0</v>
      </c>
      <c r="H31" s="81">
        <v>5</v>
      </c>
      <c r="I31" s="82"/>
      <c r="J31" s="83"/>
      <c r="K31" s="241">
        <f t="shared" si="4"/>
        <v>30</v>
      </c>
      <c r="L31" s="242">
        <f t="shared" si="5"/>
        <v>1.5</v>
      </c>
      <c r="M31" s="243">
        <f t="shared" si="6"/>
        <v>31.5</v>
      </c>
    </row>
    <row r="32" spans="2:13" ht="15.75" thickBot="1" x14ac:dyDescent="0.3">
      <c r="B32" s="244" t="s">
        <v>32</v>
      </c>
      <c r="C32" s="244"/>
      <c r="D32" s="207"/>
      <c r="E32" s="213"/>
      <c r="F32" s="99"/>
      <c r="G32" s="99"/>
      <c r="H32" s="209"/>
      <c r="I32" s="99">
        <f>SUM(I23:I31)</f>
        <v>0</v>
      </c>
      <c r="J32" s="99">
        <f>SUM(J30:J31)</f>
        <v>0</v>
      </c>
      <c r="K32" s="210"/>
      <c r="L32" s="99"/>
      <c r="M32" s="100">
        <f>SUM(M23:M31)</f>
        <v>111.825</v>
      </c>
    </row>
    <row r="33" spans="2:13" ht="15.75" thickBot="1" x14ac:dyDescent="0.3">
      <c r="B33" s="73"/>
      <c r="C33" s="74"/>
      <c r="D33" s="74"/>
      <c r="E33" s="74"/>
      <c r="F33" s="74"/>
      <c r="G33" s="74"/>
      <c r="H33" s="74"/>
      <c r="I33" s="74"/>
      <c r="J33" s="75"/>
      <c r="K33" s="74"/>
      <c r="L33" s="74"/>
      <c r="M33" s="75"/>
    </row>
    <row r="34" spans="2:13" x14ac:dyDescent="0.25">
      <c r="B34" s="225" t="s">
        <v>20</v>
      </c>
      <c r="C34" s="156"/>
      <c r="D34" s="201"/>
      <c r="E34" s="211"/>
      <c r="F34" s="203"/>
      <c r="G34" s="203"/>
      <c r="H34" s="204"/>
      <c r="I34" s="202"/>
      <c r="J34" s="205"/>
      <c r="K34" s="206"/>
      <c r="L34" s="212"/>
      <c r="M34" s="205"/>
    </row>
    <row r="35" spans="2:13" s="36" customFormat="1" x14ac:dyDescent="0.25">
      <c r="B35" s="77" t="s">
        <v>106</v>
      </c>
      <c r="C35" s="4" t="s">
        <v>103</v>
      </c>
      <c r="D35" s="226"/>
      <c r="E35" s="227">
        <v>25000</v>
      </c>
      <c r="F35" s="220">
        <f t="shared" ref="F35:F36" si="8">IF(D35&gt;0, D35*E35, E35)</f>
        <v>25000</v>
      </c>
      <c r="G35" s="227">
        <v>5000</v>
      </c>
      <c r="H35" s="228">
        <v>20</v>
      </c>
      <c r="I35" s="102">
        <v>300</v>
      </c>
      <c r="J35" s="229"/>
      <c r="K35" s="224">
        <f>(F35-G35)/H35</f>
        <v>1000</v>
      </c>
      <c r="L35" s="103">
        <f>((F35+G35)/H35)*$L$6</f>
        <v>75</v>
      </c>
      <c r="M35" s="104">
        <f>K35+L35</f>
        <v>1075</v>
      </c>
    </row>
    <row r="36" spans="2:13" x14ac:dyDescent="0.25">
      <c r="B36" s="77" t="s">
        <v>105</v>
      </c>
      <c r="C36" s="4" t="s">
        <v>104</v>
      </c>
      <c r="D36" s="78"/>
      <c r="E36" s="79">
        <v>20000</v>
      </c>
      <c r="F36" s="80">
        <f t="shared" si="8"/>
        <v>20000</v>
      </c>
      <c r="G36" s="79">
        <v>0</v>
      </c>
      <c r="H36" s="81">
        <v>10</v>
      </c>
      <c r="I36" s="82">
        <v>100</v>
      </c>
      <c r="J36" s="83">
        <v>1000</v>
      </c>
      <c r="K36" s="241">
        <f>(F36-G36)/H36</f>
        <v>2000</v>
      </c>
      <c r="L36" s="242">
        <f>((F36+G36)/H36)*$L$6</f>
        <v>100</v>
      </c>
      <c r="M36" s="243">
        <f>K36+L36</f>
        <v>2100</v>
      </c>
    </row>
    <row r="37" spans="2:13" ht="15.75" thickBot="1" x14ac:dyDescent="0.3">
      <c r="B37" s="244" t="s">
        <v>33</v>
      </c>
      <c r="C37" s="246"/>
      <c r="D37" s="207"/>
      <c r="E37" s="208"/>
      <c r="F37" s="99"/>
      <c r="G37" s="99"/>
      <c r="H37" s="209"/>
      <c r="I37" s="99">
        <f>SUM(I35:I36)</f>
        <v>400</v>
      </c>
      <c r="J37" s="100">
        <f>SUM(J35:J36)</f>
        <v>1000</v>
      </c>
      <c r="K37" s="210"/>
      <c r="L37" s="99"/>
      <c r="M37" s="100">
        <f>SUM(M35:M36)</f>
        <v>3175</v>
      </c>
    </row>
    <row r="38" spans="2:13" ht="15.75" thickBot="1" x14ac:dyDescent="0.3">
      <c r="B38" s="73"/>
      <c r="C38" s="74"/>
      <c r="D38" s="74"/>
      <c r="E38" s="74"/>
      <c r="F38" s="74"/>
      <c r="G38" s="74"/>
      <c r="H38" s="74"/>
      <c r="I38" s="74"/>
      <c r="J38" s="75"/>
      <c r="K38" s="74"/>
      <c r="L38" s="74"/>
      <c r="M38" s="75"/>
    </row>
    <row r="39" spans="2:13" x14ac:dyDescent="0.25">
      <c r="B39" s="225" t="s">
        <v>40</v>
      </c>
      <c r="C39" s="156"/>
      <c r="D39" s="201"/>
      <c r="E39" s="202"/>
      <c r="F39" s="203"/>
      <c r="G39" s="203"/>
      <c r="H39" s="204"/>
      <c r="I39" s="202"/>
      <c r="J39" s="205"/>
      <c r="K39" s="206"/>
      <c r="L39" s="212"/>
      <c r="M39" s="205"/>
    </row>
    <row r="40" spans="2:13" x14ac:dyDescent="0.25">
      <c r="B40" s="77" t="s">
        <v>39</v>
      </c>
      <c r="C40" s="4" t="s">
        <v>30</v>
      </c>
      <c r="D40" s="218"/>
      <c r="E40" s="219"/>
      <c r="F40" s="220">
        <f>SUM(J10,J20,J32,J37,J45)</f>
        <v>1000</v>
      </c>
      <c r="G40" s="219"/>
      <c r="H40" s="221"/>
      <c r="I40" s="222"/>
      <c r="J40" s="223"/>
      <c r="K40" s="224">
        <f>F40</f>
        <v>1000</v>
      </c>
      <c r="L40" s="103">
        <f>F40*$L$6</f>
        <v>50</v>
      </c>
      <c r="M40" s="104">
        <f>K40+L40</f>
        <v>1050</v>
      </c>
    </row>
    <row r="41" spans="2:13" x14ac:dyDescent="0.25">
      <c r="B41" s="77" t="s">
        <v>84</v>
      </c>
      <c r="C41" s="4" t="s">
        <v>30</v>
      </c>
      <c r="D41" s="88"/>
      <c r="E41" s="89"/>
      <c r="F41" s="62">
        <f>IF(D41&gt;0, D41*E41, E41)</f>
        <v>0</v>
      </c>
      <c r="G41" s="89"/>
      <c r="H41" s="92"/>
      <c r="I41" s="30"/>
      <c r="J41" s="93"/>
      <c r="K41" s="65">
        <f t="shared" ref="K41:K44" si="9">F41</f>
        <v>0</v>
      </c>
      <c r="L41" s="22">
        <f t="shared" ref="L41:L44" si="10">F41*$L$6</f>
        <v>0</v>
      </c>
      <c r="M41" s="23">
        <f t="shared" ref="M41:M44" si="11">K41+L41</f>
        <v>0</v>
      </c>
    </row>
    <row r="42" spans="2:13" x14ac:dyDescent="0.25">
      <c r="B42" s="77" t="s">
        <v>85</v>
      </c>
      <c r="C42" s="4" t="s">
        <v>30</v>
      </c>
      <c r="D42" s="88"/>
      <c r="E42" s="89"/>
      <c r="F42" s="62">
        <f>IF(D42&gt;0, D42*E42, E42)</f>
        <v>0</v>
      </c>
      <c r="G42" s="89"/>
      <c r="H42" s="92"/>
      <c r="I42" s="30"/>
      <c r="J42" s="93"/>
      <c r="K42" s="65">
        <f t="shared" si="9"/>
        <v>0</v>
      </c>
      <c r="L42" s="22">
        <f t="shared" si="10"/>
        <v>0</v>
      </c>
      <c r="M42" s="23">
        <f t="shared" si="11"/>
        <v>0</v>
      </c>
    </row>
    <row r="43" spans="2:13" x14ac:dyDescent="0.25">
      <c r="B43" s="77" t="s">
        <v>51</v>
      </c>
      <c r="C43" s="4" t="s">
        <v>30</v>
      </c>
      <c r="D43" s="88"/>
      <c r="E43" s="89"/>
      <c r="F43" s="62">
        <f t="shared" ref="F43" si="12">IF(D43&gt;0, D43*E43, E43)</f>
        <v>0</v>
      </c>
      <c r="G43" s="89"/>
      <c r="H43" s="92"/>
      <c r="I43" s="30"/>
      <c r="J43" s="93"/>
      <c r="K43" s="65">
        <f t="shared" si="9"/>
        <v>0</v>
      </c>
      <c r="L43" s="22">
        <f t="shared" si="10"/>
        <v>0</v>
      </c>
      <c r="M43" s="23">
        <f t="shared" si="11"/>
        <v>0</v>
      </c>
    </row>
    <row r="44" spans="2:13" x14ac:dyDescent="0.25">
      <c r="B44" s="77" t="s">
        <v>66</v>
      </c>
      <c r="C44" s="4" t="s">
        <v>30</v>
      </c>
      <c r="D44" s="90"/>
      <c r="E44" s="91"/>
      <c r="F44" s="80">
        <v>0</v>
      </c>
      <c r="G44" s="91"/>
      <c r="H44" s="94"/>
      <c r="I44" s="95"/>
      <c r="J44" s="96"/>
      <c r="K44" s="241">
        <f t="shared" si="9"/>
        <v>0</v>
      </c>
      <c r="L44" s="242">
        <f t="shared" si="10"/>
        <v>0</v>
      </c>
      <c r="M44" s="243">
        <f t="shared" si="11"/>
        <v>0</v>
      </c>
    </row>
    <row r="45" spans="2:13" ht="15.75" thickBot="1" x14ac:dyDescent="0.3">
      <c r="B45" s="244" t="s">
        <v>139</v>
      </c>
      <c r="C45" s="245"/>
      <c r="D45" s="214"/>
      <c r="E45" s="98"/>
      <c r="F45" s="215"/>
      <c r="G45" s="215"/>
      <c r="H45" s="216"/>
      <c r="I45" s="99">
        <f>SUM(I40:I43)</f>
        <v>0</v>
      </c>
      <c r="J45" s="100">
        <f>SUM(J40:J43)</f>
        <v>0</v>
      </c>
      <c r="K45" s="217"/>
      <c r="L45" s="215"/>
      <c r="M45" s="100">
        <f>SUM(M40:M44)</f>
        <v>1050</v>
      </c>
    </row>
    <row r="46" spans="2:13" ht="15.75" thickBot="1" x14ac:dyDescent="0.3">
      <c r="B46" s="44"/>
      <c r="C46" s="6"/>
      <c r="D46" s="84"/>
      <c r="E46" s="6"/>
      <c r="F46" s="17"/>
      <c r="G46" s="85"/>
      <c r="H46" s="86"/>
      <c r="I46" s="6"/>
      <c r="J46" s="6"/>
      <c r="K46" s="6"/>
      <c r="L46" s="87"/>
      <c r="M46" s="45"/>
    </row>
    <row r="47" spans="2:13" ht="15.75" thickBot="1" x14ac:dyDescent="0.3">
      <c r="B47" s="231" t="s">
        <v>55</v>
      </c>
      <c r="C47" s="232" t="s">
        <v>30</v>
      </c>
      <c r="D47" s="233"/>
      <c r="E47" s="234"/>
      <c r="F47" s="234"/>
      <c r="G47" s="234"/>
      <c r="H47" s="235"/>
      <c r="I47" s="236"/>
      <c r="J47" s="237"/>
      <c r="K47" s="238"/>
      <c r="L47" s="239"/>
      <c r="M47" s="240">
        <f>SUM(I10,I20,I32,I37,I45,)</f>
        <v>640</v>
      </c>
    </row>
  </sheetData>
  <mergeCells count="3">
    <mergeCell ref="B2:M2"/>
    <mergeCell ref="B3:M3"/>
    <mergeCell ref="B4:M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77"/>
  <sheetViews>
    <sheetView topLeftCell="A34" zoomScale="90" zoomScaleNormal="90" workbookViewId="0">
      <selection activeCell="B69" sqref="B69"/>
    </sheetView>
  </sheetViews>
  <sheetFormatPr defaultRowHeight="15" x14ac:dyDescent="0.25"/>
  <cols>
    <col min="1" max="1" width="9.140625" style="1"/>
    <col min="2" max="2" width="32" style="1" bestFit="1" customWidth="1"/>
    <col min="3" max="3" width="12.42578125" style="1" bestFit="1" customWidth="1"/>
    <col min="4" max="4" width="14.140625" style="1" bestFit="1" customWidth="1"/>
    <col min="5" max="5" width="9.7109375" style="1" bestFit="1" customWidth="1"/>
    <col min="6" max="6" width="13.7109375" style="1" bestFit="1" customWidth="1"/>
    <col min="7" max="7" width="10.140625" style="254" bestFit="1" customWidth="1"/>
    <col min="8" max="8" width="13.85546875" style="1" bestFit="1" customWidth="1"/>
    <col min="9" max="9" width="9.85546875" style="1" bestFit="1" customWidth="1"/>
    <col min="10" max="16384" width="9.140625" style="1"/>
  </cols>
  <sheetData>
    <row r="1" spans="2:9" ht="15.75" thickBot="1" x14ac:dyDescent="0.3"/>
    <row r="2" spans="2:9" ht="19.5" thickBot="1" x14ac:dyDescent="0.35">
      <c r="B2" s="280" t="s">
        <v>76</v>
      </c>
      <c r="C2" s="290"/>
      <c r="D2" s="290"/>
      <c r="E2" s="290"/>
      <c r="F2" s="290"/>
      <c r="G2" s="290"/>
      <c r="H2" s="290"/>
      <c r="I2" s="291"/>
    </row>
    <row r="3" spans="2:9" ht="90" customHeight="1" thickBot="1" x14ac:dyDescent="0.3">
      <c r="B3" s="292" t="s">
        <v>75</v>
      </c>
      <c r="C3" s="293"/>
      <c r="D3" s="293"/>
      <c r="E3" s="293"/>
      <c r="F3" s="293"/>
      <c r="G3" s="293"/>
      <c r="H3" s="293"/>
      <c r="I3" s="294"/>
    </row>
    <row r="4" spans="2:9" s="147" customFormat="1" ht="16.5" thickBot="1" x14ac:dyDescent="0.3">
      <c r="B4" s="148"/>
      <c r="C4" s="148"/>
      <c r="D4" s="148"/>
      <c r="E4" s="148"/>
      <c r="F4" s="148"/>
      <c r="G4" s="255"/>
      <c r="H4" s="148"/>
      <c r="I4" s="148"/>
    </row>
    <row r="5" spans="2:9" ht="15.75" thickBot="1" x14ac:dyDescent="0.3">
      <c r="B5" s="298" t="s">
        <v>67</v>
      </c>
      <c r="C5" s="299"/>
      <c r="D5" s="300"/>
      <c r="E5" s="3"/>
      <c r="F5" s="3"/>
      <c r="G5" s="256"/>
      <c r="H5" s="3"/>
      <c r="I5" s="3"/>
    </row>
    <row r="6" spans="2:9" x14ac:dyDescent="0.25">
      <c r="B6" s="158" t="s">
        <v>0</v>
      </c>
      <c r="C6" s="159" t="s">
        <v>8</v>
      </c>
      <c r="D6" s="160" t="s">
        <v>1</v>
      </c>
      <c r="E6" s="4"/>
      <c r="F6" s="3"/>
      <c r="G6" s="256"/>
      <c r="H6" s="5"/>
      <c r="I6" s="3"/>
    </row>
    <row r="7" spans="2:9" x14ac:dyDescent="0.25">
      <c r="B7" s="161" t="s">
        <v>9</v>
      </c>
      <c r="C7" s="9"/>
      <c r="D7" s="10">
        <v>20</v>
      </c>
      <c r="E7" s="6"/>
      <c r="F7" s="7"/>
      <c r="G7" s="257"/>
      <c r="H7" s="8"/>
      <c r="I7" s="7"/>
    </row>
    <row r="8" spans="2:9" x14ac:dyDescent="0.25">
      <c r="B8" s="161" t="s">
        <v>10</v>
      </c>
      <c r="C8" s="9"/>
      <c r="D8" s="10">
        <v>1</v>
      </c>
      <c r="E8" s="6"/>
      <c r="F8" s="7"/>
      <c r="G8" s="257"/>
      <c r="H8" s="8"/>
      <c r="I8" s="7"/>
    </row>
    <row r="9" spans="2:9" x14ac:dyDescent="0.25">
      <c r="B9" s="161" t="s">
        <v>77</v>
      </c>
      <c r="C9" s="11">
        <v>2</v>
      </c>
      <c r="D9" s="12">
        <f>D7*C9</f>
        <v>40</v>
      </c>
      <c r="E9" s="6"/>
      <c r="F9" s="7"/>
      <c r="G9" s="257"/>
      <c r="H9" s="8"/>
      <c r="I9" s="7"/>
    </row>
    <row r="10" spans="2:9" x14ac:dyDescent="0.25">
      <c r="B10" s="161" t="s">
        <v>11</v>
      </c>
      <c r="C10" s="13"/>
      <c r="D10" s="10">
        <v>2</v>
      </c>
      <c r="E10" s="6"/>
      <c r="F10" s="7"/>
      <c r="G10" s="257"/>
      <c r="H10" s="8"/>
      <c r="I10" s="7"/>
    </row>
    <row r="11" spans="2:9" x14ac:dyDescent="0.25">
      <c r="B11" s="161" t="s">
        <v>53</v>
      </c>
      <c r="C11" s="13"/>
      <c r="D11" s="10">
        <v>0</v>
      </c>
      <c r="E11" s="6"/>
      <c r="F11" s="7"/>
      <c r="G11" s="257"/>
      <c r="H11" s="8"/>
      <c r="I11" s="7"/>
    </row>
    <row r="12" spans="2:9" x14ac:dyDescent="0.25">
      <c r="B12" s="161" t="s">
        <v>64</v>
      </c>
      <c r="C12" s="11">
        <v>0.05</v>
      </c>
      <c r="D12" s="12">
        <f>D7*C12</f>
        <v>1</v>
      </c>
      <c r="E12" s="6"/>
      <c r="F12" s="7"/>
      <c r="G12" s="257"/>
      <c r="H12" s="8"/>
      <c r="I12" s="7"/>
    </row>
    <row r="13" spans="2:9" x14ac:dyDescent="0.25">
      <c r="B13" s="161" t="s">
        <v>65</v>
      </c>
      <c r="C13" s="11">
        <v>0.1</v>
      </c>
      <c r="D13" s="12">
        <f>D9*C13</f>
        <v>4</v>
      </c>
      <c r="E13" s="6"/>
      <c r="F13" s="7"/>
      <c r="G13" s="257"/>
      <c r="H13" s="8"/>
      <c r="I13" s="7"/>
    </row>
    <row r="14" spans="2:9" x14ac:dyDescent="0.25">
      <c r="B14" s="161" t="s">
        <v>59</v>
      </c>
      <c r="C14" s="14">
        <f>(D14/D7)</f>
        <v>1.8</v>
      </c>
      <c r="D14" s="12">
        <f>D9-D13</f>
        <v>36</v>
      </c>
      <c r="E14" s="6"/>
      <c r="F14" s="7"/>
      <c r="G14" s="257"/>
      <c r="H14" s="8"/>
      <c r="I14" s="7"/>
    </row>
    <row r="15" spans="2:9" x14ac:dyDescent="0.25">
      <c r="B15" s="161" t="s">
        <v>57</v>
      </c>
      <c r="C15" s="9"/>
      <c r="D15" s="10">
        <v>2</v>
      </c>
      <c r="E15" s="6"/>
      <c r="F15" s="7"/>
      <c r="G15" s="257"/>
      <c r="H15" s="8"/>
      <c r="I15" s="7"/>
    </row>
    <row r="16" spans="2:9" ht="15.75" thickBot="1" x14ac:dyDescent="0.3">
      <c r="B16" s="162" t="s">
        <v>13</v>
      </c>
      <c r="C16" s="15">
        <f>D16/D7</f>
        <v>1.7</v>
      </c>
      <c r="D16" s="16">
        <f>D14-D15</f>
        <v>34</v>
      </c>
      <c r="E16" s="6"/>
      <c r="F16" s="7"/>
      <c r="G16" s="257"/>
      <c r="H16" s="8"/>
      <c r="I16" s="7"/>
    </row>
    <row r="17" spans="2:9" ht="15.75" thickBot="1" x14ac:dyDescent="0.3">
      <c r="B17" s="6"/>
      <c r="C17" s="6"/>
      <c r="D17" s="6"/>
      <c r="E17" s="6"/>
      <c r="F17" s="6"/>
      <c r="G17" s="258"/>
      <c r="H17" s="6"/>
      <c r="I17" s="6"/>
    </row>
    <row r="18" spans="2:9" x14ac:dyDescent="0.25">
      <c r="B18" s="158" t="s">
        <v>130</v>
      </c>
      <c r="C18" s="150"/>
      <c r="D18" s="150"/>
      <c r="E18" s="150"/>
      <c r="F18" s="150"/>
      <c r="G18" s="259"/>
      <c r="H18" s="150"/>
      <c r="I18" s="151"/>
    </row>
    <row r="19" spans="2:9" x14ac:dyDescent="0.25">
      <c r="B19" s="177"/>
      <c r="C19" s="152" t="s">
        <v>2</v>
      </c>
      <c r="D19" s="152" t="s">
        <v>133</v>
      </c>
      <c r="E19" s="152" t="s">
        <v>4</v>
      </c>
      <c r="F19" s="152" t="s">
        <v>61</v>
      </c>
      <c r="G19" s="251" t="s">
        <v>145</v>
      </c>
      <c r="H19" s="153" t="s">
        <v>136</v>
      </c>
      <c r="I19" s="184" t="s">
        <v>138</v>
      </c>
    </row>
    <row r="20" spans="2:9" x14ac:dyDescent="0.25">
      <c r="B20" s="161" t="s">
        <v>107</v>
      </c>
      <c r="C20" s="18">
        <f>D16</f>
        <v>34</v>
      </c>
      <c r="D20" s="20">
        <v>55</v>
      </c>
      <c r="E20" s="19" t="s">
        <v>79</v>
      </c>
      <c r="F20" s="20">
        <f>C20*D20</f>
        <v>1870</v>
      </c>
      <c r="G20" s="61">
        <v>7.5</v>
      </c>
      <c r="H20" s="62">
        <f>F20*G20</f>
        <v>14025</v>
      </c>
      <c r="I20" s="171">
        <f>H20/$D$7</f>
        <v>701.25</v>
      </c>
    </row>
    <row r="21" spans="2:9" x14ac:dyDescent="0.25">
      <c r="B21" s="161" t="s">
        <v>80</v>
      </c>
      <c r="C21" s="18">
        <f>D10</f>
        <v>2</v>
      </c>
      <c r="D21" s="20"/>
      <c r="E21" s="19" t="s">
        <v>35</v>
      </c>
      <c r="F21" s="20">
        <v>2</v>
      </c>
      <c r="G21" s="61">
        <v>50</v>
      </c>
      <c r="H21" s="62">
        <f>F21*G21</f>
        <v>100</v>
      </c>
      <c r="I21" s="171">
        <f>H21/$D$7</f>
        <v>5</v>
      </c>
    </row>
    <row r="22" spans="2:9" x14ac:dyDescent="0.25">
      <c r="B22" s="161" t="s">
        <v>81</v>
      </c>
      <c r="C22" s="18">
        <f>D11</f>
        <v>0</v>
      </c>
      <c r="D22" s="20"/>
      <c r="E22" s="19" t="s">
        <v>35</v>
      </c>
      <c r="F22" s="20">
        <f>C22*D22</f>
        <v>0</v>
      </c>
      <c r="G22" s="61">
        <v>0</v>
      </c>
      <c r="H22" s="62">
        <f>F22*G22</f>
        <v>0</v>
      </c>
      <c r="I22" s="171">
        <f>H22/$D$7</f>
        <v>0</v>
      </c>
    </row>
    <row r="23" spans="2:9" x14ac:dyDescent="0.25">
      <c r="B23" s="161" t="s">
        <v>82</v>
      </c>
      <c r="C23" s="18">
        <f>D7+D8</f>
        <v>21</v>
      </c>
      <c r="D23" s="20">
        <v>12</v>
      </c>
      <c r="E23" s="19" t="s">
        <v>52</v>
      </c>
      <c r="F23" s="20">
        <f>C23*D23</f>
        <v>252</v>
      </c>
      <c r="G23" s="61">
        <v>2</v>
      </c>
      <c r="H23" s="62">
        <f>F23*G23</f>
        <v>504</v>
      </c>
      <c r="I23" s="171">
        <f>H23/$D$7</f>
        <v>25.2</v>
      </c>
    </row>
    <row r="24" spans="2:9" x14ac:dyDescent="0.25">
      <c r="B24" s="161" t="s">
        <v>14</v>
      </c>
      <c r="C24" s="18">
        <f>D14</f>
        <v>36</v>
      </c>
      <c r="D24" s="20">
        <v>6</v>
      </c>
      <c r="E24" s="19" t="s">
        <v>52</v>
      </c>
      <c r="F24" s="20">
        <f>C24*D24</f>
        <v>216</v>
      </c>
      <c r="G24" s="61">
        <v>2</v>
      </c>
      <c r="H24" s="62">
        <f>F24*G24</f>
        <v>432</v>
      </c>
      <c r="I24" s="171">
        <f>H24/$D$7</f>
        <v>21.6</v>
      </c>
    </row>
    <row r="25" spans="2:9" ht="15.75" thickBot="1" x14ac:dyDescent="0.3">
      <c r="B25" s="164" t="s">
        <v>3</v>
      </c>
      <c r="C25" s="97"/>
      <c r="D25" s="97"/>
      <c r="E25" s="98"/>
      <c r="F25" s="97"/>
      <c r="G25" s="260"/>
      <c r="H25" s="247">
        <f>SUM(H20:H24)</f>
        <v>15061</v>
      </c>
      <c r="I25" s="248">
        <f>SUM(I20:I24)</f>
        <v>753.05000000000007</v>
      </c>
    </row>
    <row r="26" spans="2:9" ht="15.75" thickBot="1" x14ac:dyDescent="0.3">
      <c r="B26" s="289"/>
      <c r="C26" s="289"/>
      <c r="D26" s="289"/>
      <c r="E26" s="289"/>
      <c r="F26" s="289"/>
      <c r="G26" s="289"/>
      <c r="H26" s="289"/>
      <c r="I26" s="6"/>
    </row>
    <row r="27" spans="2:9" x14ac:dyDescent="0.25">
      <c r="B27" s="101" t="s">
        <v>129</v>
      </c>
      <c r="C27" s="156"/>
      <c r="D27" s="156"/>
      <c r="E27" s="156"/>
      <c r="F27" s="156"/>
      <c r="G27" s="261"/>
      <c r="H27" s="156"/>
      <c r="I27" s="157"/>
    </row>
    <row r="28" spans="2:9" x14ac:dyDescent="0.25">
      <c r="B28" s="165"/>
      <c r="C28" s="154" t="s">
        <v>2</v>
      </c>
      <c r="D28" s="154" t="s">
        <v>58</v>
      </c>
      <c r="E28" s="154" t="s">
        <v>4</v>
      </c>
      <c r="F28" s="154" t="s">
        <v>61</v>
      </c>
      <c r="G28" s="262" t="s">
        <v>145</v>
      </c>
      <c r="H28" s="155" t="s">
        <v>136</v>
      </c>
      <c r="I28" s="166" t="s">
        <v>138</v>
      </c>
    </row>
    <row r="29" spans="2:9" x14ac:dyDescent="0.25">
      <c r="B29" s="167" t="s">
        <v>152</v>
      </c>
      <c r="C29" s="27"/>
      <c r="D29" s="27"/>
      <c r="E29" s="27"/>
      <c r="F29" s="27"/>
      <c r="G29" s="89"/>
      <c r="H29" s="28"/>
      <c r="I29" s="29"/>
    </row>
    <row r="30" spans="2:9" x14ac:dyDescent="0.25">
      <c r="B30" s="168" t="s">
        <v>78</v>
      </c>
      <c r="C30" s="26"/>
      <c r="D30" s="19"/>
      <c r="E30" s="19" t="s">
        <v>60</v>
      </c>
      <c r="F30" s="19">
        <v>5</v>
      </c>
      <c r="G30" s="61">
        <v>75</v>
      </c>
      <c r="H30" s="62">
        <f t="shared" ref="H30:H35" si="0">F30*G30</f>
        <v>375</v>
      </c>
      <c r="I30" s="171">
        <f>H30/$D$7</f>
        <v>18.75</v>
      </c>
    </row>
    <row r="31" spans="2:9" x14ac:dyDescent="0.25">
      <c r="B31" s="168" t="s">
        <v>68</v>
      </c>
      <c r="C31" s="26">
        <f>D7+D8</f>
        <v>21</v>
      </c>
      <c r="D31" s="19">
        <v>25</v>
      </c>
      <c r="E31" s="19" t="s">
        <v>41</v>
      </c>
      <c r="F31" s="19">
        <f>C31*D31</f>
        <v>525</v>
      </c>
      <c r="G31" s="61">
        <v>7</v>
      </c>
      <c r="H31" s="62">
        <f t="shared" si="0"/>
        <v>3675</v>
      </c>
      <c r="I31" s="171">
        <f t="shared" ref="I31:I35" si="1">H31/$D$7</f>
        <v>183.75</v>
      </c>
    </row>
    <row r="32" spans="2:9" x14ac:dyDescent="0.25">
      <c r="B32" s="168" t="s">
        <v>69</v>
      </c>
      <c r="C32" s="26">
        <f>D7+D9</f>
        <v>60</v>
      </c>
      <c r="D32" s="19">
        <v>3</v>
      </c>
      <c r="E32" s="19" t="s">
        <v>42</v>
      </c>
      <c r="F32" s="19">
        <f>C32*D32</f>
        <v>180</v>
      </c>
      <c r="G32" s="61">
        <v>12.6</v>
      </c>
      <c r="H32" s="62">
        <f t="shared" si="0"/>
        <v>2268</v>
      </c>
      <c r="I32" s="171">
        <f>H32/$D$7</f>
        <v>113.4</v>
      </c>
    </row>
    <row r="33" spans="2:9" x14ac:dyDescent="0.25">
      <c r="B33" s="168" t="s">
        <v>70</v>
      </c>
      <c r="C33" s="26">
        <f>$D$7</f>
        <v>20</v>
      </c>
      <c r="D33" s="19"/>
      <c r="E33" s="19" t="s">
        <v>62</v>
      </c>
      <c r="F33" s="19">
        <v>2</v>
      </c>
      <c r="G33" s="61">
        <v>35</v>
      </c>
      <c r="H33" s="62">
        <f t="shared" si="0"/>
        <v>70</v>
      </c>
      <c r="I33" s="171">
        <f t="shared" si="1"/>
        <v>3.5</v>
      </c>
    </row>
    <row r="34" spans="2:9" x14ac:dyDescent="0.25">
      <c r="B34" s="168" t="s">
        <v>71</v>
      </c>
      <c r="C34" s="26">
        <f>$D$7</f>
        <v>20</v>
      </c>
      <c r="D34" s="19"/>
      <c r="E34" s="19" t="s">
        <v>62</v>
      </c>
      <c r="F34" s="19">
        <v>2</v>
      </c>
      <c r="G34" s="61">
        <v>15</v>
      </c>
      <c r="H34" s="62">
        <f t="shared" si="0"/>
        <v>30</v>
      </c>
      <c r="I34" s="171">
        <f t="shared" si="1"/>
        <v>1.5</v>
      </c>
    </row>
    <row r="35" spans="2:9" x14ac:dyDescent="0.25">
      <c r="B35" s="168" t="s">
        <v>72</v>
      </c>
      <c r="C35" s="26">
        <f>$D$7</f>
        <v>20</v>
      </c>
      <c r="D35" s="19"/>
      <c r="E35" s="19" t="s">
        <v>62</v>
      </c>
      <c r="F35" s="19">
        <v>2</v>
      </c>
      <c r="G35" s="61">
        <v>15</v>
      </c>
      <c r="H35" s="62">
        <f t="shared" si="0"/>
        <v>30</v>
      </c>
      <c r="I35" s="171">
        <f t="shared" si="1"/>
        <v>1.5</v>
      </c>
    </row>
    <row r="36" spans="2:9" x14ac:dyDescent="0.25">
      <c r="B36" s="185" t="s">
        <v>115</v>
      </c>
      <c r="C36" s="186"/>
      <c r="D36" s="186"/>
      <c r="E36" s="186"/>
      <c r="F36" s="186"/>
      <c r="G36" s="249"/>
      <c r="H36" s="249">
        <f>SUM(H30:H35)</f>
        <v>6448</v>
      </c>
      <c r="I36" s="250">
        <f>SUM(I30:I35)</f>
        <v>322.39999999999998</v>
      </c>
    </row>
    <row r="37" spans="2:9" x14ac:dyDescent="0.25">
      <c r="B37" s="170" t="s">
        <v>6</v>
      </c>
      <c r="C37" s="27"/>
      <c r="D37" s="27"/>
      <c r="E37" s="27"/>
      <c r="F37" s="27"/>
      <c r="G37" s="89"/>
      <c r="H37" s="28"/>
      <c r="I37" s="29"/>
    </row>
    <row r="38" spans="2:9" x14ac:dyDescent="0.25">
      <c r="B38" s="168" t="s">
        <v>43</v>
      </c>
      <c r="C38" s="26">
        <f>D7</f>
        <v>20</v>
      </c>
      <c r="D38" s="19">
        <v>3</v>
      </c>
      <c r="E38" s="19" t="s">
        <v>45</v>
      </c>
      <c r="F38" s="19">
        <f>C38*D38</f>
        <v>60</v>
      </c>
      <c r="G38" s="61">
        <v>2.5</v>
      </c>
      <c r="H38" s="62">
        <f>F38*G38</f>
        <v>150</v>
      </c>
      <c r="I38" s="171">
        <f>H38/$D$7</f>
        <v>7.5</v>
      </c>
    </row>
    <row r="39" spans="2:9" x14ac:dyDescent="0.25">
      <c r="B39" s="168" t="s">
        <v>44</v>
      </c>
      <c r="C39" s="26">
        <f>D9</f>
        <v>40</v>
      </c>
      <c r="D39" s="19">
        <v>3</v>
      </c>
      <c r="E39" s="19" t="s">
        <v>46</v>
      </c>
      <c r="F39" s="19">
        <f>C39*D39</f>
        <v>120</v>
      </c>
      <c r="G39" s="61">
        <v>0.85</v>
      </c>
      <c r="H39" s="62">
        <f t="shared" ref="H39" si="2">F39*G39</f>
        <v>102</v>
      </c>
      <c r="I39" s="171">
        <f t="shared" ref="I39:I41" si="3">H39/$D$7</f>
        <v>5.0999999999999996</v>
      </c>
    </row>
    <row r="40" spans="2:9" x14ac:dyDescent="0.25">
      <c r="B40" s="168" t="s">
        <v>47</v>
      </c>
      <c r="C40" s="26">
        <f>D7</f>
        <v>20</v>
      </c>
      <c r="D40" s="19">
        <v>1</v>
      </c>
      <c r="E40" s="19" t="s">
        <v>63</v>
      </c>
      <c r="F40" s="19">
        <f>C40*D40</f>
        <v>20</v>
      </c>
      <c r="G40" s="61">
        <v>1</v>
      </c>
      <c r="H40" s="62">
        <f>F40*G40</f>
        <v>20</v>
      </c>
      <c r="I40" s="171">
        <f t="shared" si="3"/>
        <v>1</v>
      </c>
    </row>
    <row r="41" spans="2:9" x14ac:dyDescent="0.25">
      <c r="B41" s="168" t="s">
        <v>48</v>
      </c>
      <c r="C41" s="26">
        <f>D9</f>
        <v>40</v>
      </c>
      <c r="D41" s="19">
        <v>2</v>
      </c>
      <c r="E41" s="19" t="s">
        <v>63</v>
      </c>
      <c r="F41" s="19">
        <f>C41*D41</f>
        <v>80</v>
      </c>
      <c r="G41" s="61">
        <v>1</v>
      </c>
      <c r="H41" s="62">
        <f>F41*G41</f>
        <v>80</v>
      </c>
      <c r="I41" s="171">
        <f t="shared" si="3"/>
        <v>4</v>
      </c>
    </row>
    <row r="42" spans="2:9" x14ac:dyDescent="0.25">
      <c r="B42" s="185" t="s">
        <v>150</v>
      </c>
      <c r="C42" s="186"/>
      <c r="D42" s="186"/>
      <c r="E42" s="186"/>
      <c r="F42" s="186"/>
      <c r="G42" s="249"/>
      <c r="H42" s="249">
        <f>SUM(H38:H41)</f>
        <v>352</v>
      </c>
      <c r="I42" s="250">
        <f>SUM(I38:I41)</f>
        <v>17.600000000000001</v>
      </c>
    </row>
    <row r="43" spans="2:9" x14ac:dyDescent="0.25">
      <c r="B43" s="167" t="s">
        <v>110</v>
      </c>
      <c r="C43" s="27"/>
      <c r="D43" s="27"/>
      <c r="E43" s="27"/>
      <c r="F43" s="27"/>
      <c r="G43" s="89"/>
      <c r="H43" s="30"/>
      <c r="I43" s="31"/>
    </row>
    <row r="44" spans="2:9" x14ac:dyDescent="0.25">
      <c r="B44" s="168" t="s">
        <v>111</v>
      </c>
      <c r="C44" s="26"/>
      <c r="D44" s="19">
        <v>1</v>
      </c>
      <c r="E44" s="19" t="s">
        <v>108</v>
      </c>
      <c r="F44" s="19">
        <v>240</v>
      </c>
      <c r="G44" s="61">
        <v>12</v>
      </c>
      <c r="H44" s="62">
        <f>F44*G44</f>
        <v>2880</v>
      </c>
      <c r="I44" s="171">
        <f>H44/$D$7</f>
        <v>144</v>
      </c>
    </row>
    <row r="45" spans="2:9" x14ac:dyDescent="0.25">
      <c r="B45" s="168" t="s">
        <v>144</v>
      </c>
      <c r="C45" s="26"/>
      <c r="D45" s="19">
        <v>1</v>
      </c>
      <c r="E45" s="19" t="s">
        <v>108</v>
      </c>
      <c r="F45" s="19">
        <v>660</v>
      </c>
      <c r="G45" s="61">
        <v>12</v>
      </c>
      <c r="H45" s="62">
        <f t="shared" ref="H45:H47" si="4">F45*G45</f>
        <v>7920</v>
      </c>
      <c r="I45" s="171">
        <f t="shared" ref="I45:I55" si="5">H45/$D$7</f>
        <v>396</v>
      </c>
    </row>
    <row r="46" spans="2:9" x14ac:dyDescent="0.25">
      <c r="B46" s="168" t="s">
        <v>112</v>
      </c>
      <c r="C46" s="26">
        <f>D7</f>
        <v>20</v>
      </c>
      <c r="D46" s="19">
        <v>1</v>
      </c>
      <c r="E46" s="19" t="s">
        <v>109</v>
      </c>
      <c r="F46" s="19">
        <v>20</v>
      </c>
      <c r="G46" s="61">
        <v>12</v>
      </c>
      <c r="H46" s="62">
        <f t="shared" si="4"/>
        <v>240</v>
      </c>
      <c r="I46" s="171">
        <f t="shared" si="5"/>
        <v>12</v>
      </c>
    </row>
    <row r="47" spans="2:9" x14ac:dyDescent="0.25">
      <c r="B47" s="168" t="s">
        <v>113</v>
      </c>
      <c r="C47" s="26">
        <f>D8</f>
        <v>1</v>
      </c>
      <c r="D47" s="19">
        <v>1</v>
      </c>
      <c r="E47" s="19" t="s">
        <v>109</v>
      </c>
      <c r="F47" s="19">
        <v>1</v>
      </c>
      <c r="G47" s="61">
        <v>24</v>
      </c>
      <c r="H47" s="62">
        <f t="shared" si="4"/>
        <v>24</v>
      </c>
      <c r="I47" s="171">
        <f t="shared" si="5"/>
        <v>1.2</v>
      </c>
    </row>
    <row r="48" spans="2:9" x14ac:dyDescent="0.25">
      <c r="B48" s="168" t="s">
        <v>112</v>
      </c>
      <c r="C48" s="26">
        <v>40</v>
      </c>
      <c r="D48" s="19">
        <v>1</v>
      </c>
      <c r="E48" s="19" t="s">
        <v>109</v>
      </c>
      <c r="F48" s="19">
        <v>40</v>
      </c>
      <c r="G48" s="61">
        <v>6</v>
      </c>
      <c r="H48" s="62">
        <f>F48*G48</f>
        <v>240</v>
      </c>
      <c r="I48" s="171">
        <f t="shared" ref="I48" si="6">H48/$D$7</f>
        <v>12</v>
      </c>
    </row>
    <row r="49" spans="2:9" x14ac:dyDescent="0.25">
      <c r="B49" s="185" t="s">
        <v>114</v>
      </c>
      <c r="C49" s="149"/>
      <c r="D49" s="149"/>
      <c r="E49" s="149"/>
      <c r="F49" s="149"/>
      <c r="G49" s="263"/>
      <c r="H49" s="249">
        <f>SUM(H44:H48)</f>
        <v>11304</v>
      </c>
      <c r="I49" s="250">
        <f>SUM(I44:I48)</f>
        <v>565.20000000000005</v>
      </c>
    </row>
    <row r="50" spans="2:9" x14ac:dyDescent="0.25">
      <c r="B50" s="170" t="s">
        <v>116</v>
      </c>
      <c r="C50" s="26"/>
      <c r="D50" s="19"/>
      <c r="E50" s="19"/>
      <c r="F50" s="19"/>
      <c r="G50" s="61"/>
      <c r="H50" s="62"/>
      <c r="I50" s="171"/>
    </row>
    <row r="51" spans="2:9" x14ac:dyDescent="0.25">
      <c r="B51" s="168" t="s">
        <v>73</v>
      </c>
      <c r="C51" s="26">
        <f>D16</f>
        <v>34</v>
      </c>
      <c r="D51" s="19">
        <v>1</v>
      </c>
      <c r="E51" s="19" t="s">
        <v>109</v>
      </c>
      <c r="F51" s="19">
        <v>34</v>
      </c>
      <c r="G51" s="61">
        <v>110</v>
      </c>
      <c r="H51" s="62">
        <f>C51*G51</f>
        <v>3740</v>
      </c>
      <c r="I51" s="171">
        <f t="shared" si="5"/>
        <v>187</v>
      </c>
    </row>
    <row r="52" spans="2:9" x14ac:dyDescent="0.25">
      <c r="B52" s="168" t="s">
        <v>74</v>
      </c>
      <c r="C52" s="26">
        <f>D16</f>
        <v>34</v>
      </c>
      <c r="D52" s="19">
        <v>1</v>
      </c>
      <c r="E52" s="19" t="s">
        <v>109</v>
      </c>
      <c r="F52" s="19">
        <v>34</v>
      </c>
      <c r="G52" s="61">
        <v>10</v>
      </c>
      <c r="H52" s="62">
        <f>C52*G52</f>
        <v>340</v>
      </c>
      <c r="I52" s="171">
        <f>H52/$D$7</f>
        <v>17</v>
      </c>
    </row>
    <row r="53" spans="2:9" x14ac:dyDescent="0.25">
      <c r="B53" s="168" t="s">
        <v>49</v>
      </c>
      <c r="C53" s="27"/>
      <c r="D53" s="27"/>
      <c r="E53" s="27"/>
      <c r="F53" s="27"/>
      <c r="G53" s="61">
        <v>150</v>
      </c>
      <c r="H53" s="62">
        <f>G53</f>
        <v>150</v>
      </c>
      <c r="I53" s="171">
        <f>H53/$D$7</f>
        <v>7.5</v>
      </c>
    </row>
    <row r="54" spans="2:9" x14ac:dyDescent="0.25">
      <c r="B54" s="168" t="s">
        <v>151</v>
      </c>
      <c r="C54" s="27"/>
      <c r="D54" s="27"/>
      <c r="E54" s="27"/>
      <c r="F54" s="27"/>
      <c r="G54" s="61">
        <f>'LAMB_FIXED COST'!M47</f>
        <v>640</v>
      </c>
      <c r="H54" s="62">
        <f>G54</f>
        <v>640</v>
      </c>
      <c r="I54" s="171">
        <f>H54/$D$7</f>
        <v>32</v>
      </c>
    </row>
    <row r="55" spans="2:9" x14ac:dyDescent="0.25">
      <c r="B55" s="168" t="s">
        <v>146</v>
      </c>
      <c r="C55" s="9"/>
      <c r="D55" s="9"/>
      <c r="E55" s="9"/>
      <c r="F55" s="9"/>
      <c r="G55" s="275">
        <v>0.05</v>
      </c>
      <c r="H55" s="62">
        <f>(SUM(H30:H54))*G55</f>
        <v>2053.9</v>
      </c>
      <c r="I55" s="171">
        <f t="shared" si="5"/>
        <v>102.69500000000001</v>
      </c>
    </row>
    <row r="56" spans="2:9" x14ac:dyDescent="0.25">
      <c r="B56" s="169" t="s">
        <v>125</v>
      </c>
      <c r="C56" s="9"/>
      <c r="D56" s="9"/>
      <c r="E56" s="9"/>
      <c r="F56" s="9"/>
      <c r="G56" s="264"/>
      <c r="H56" s="163">
        <f>SUM(H51:H55)</f>
        <v>6923.9</v>
      </c>
      <c r="I56" s="173">
        <f>SUM(I51:I55)</f>
        <v>346.19499999999999</v>
      </c>
    </row>
    <row r="57" spans="2:9" ht="15.75" thickBot="1" x14ac:dyDescent="0.3">
      <c r="B57" s="164" t="s">
        <v>134</v>
      </c>
      <c r="C57" s="98"/>
      <c r="D57" s="98"/>
      <c r="E57" s="98"/>
      <c r="F57" s="98"/>
      <c r="G57" s="260"/>
      <c r="H57" s="247">
        <f>SUM(H36+H42+H49+H56)</f>
        <v>25027.9</v>
      </c>
      <c r="I57" s="248">
        <f>SUM(I36+I42+I49+I56)</f>
        <v>1251.395</v>
      </c>
    </row>
    <row r="58" spans="2:9" ht="15.75" thickBot="1" x14ac:dyDescent="0.3">
      <c r="B58" s="6"/>
      <c r="C58" s="6"/>
      <c r="D58" s="6"/>
      <c r="E58" s="6"/>
      <c r="F58" s="6"/>
      <c r="G58" s="258"/>
      <c r="H58" s="6"/>
      <c r="I58" s="6"/>
    </row>
    <row r="59" spans="2:9" x14ac:dyDescent="0.25">
      <c r="B59" s="295" t="s">
        <v>128</v>
      </c>
      <c r="C59" s="296"/>
      <c r="D59" s="296"/>
      <c r="E59" s="296"/>
      <c r="F59" s="296"/>
      <c r="G59" s="296"/>
      <c r="H59" s="296"/>
      <c r="I59" s="297"/>
    </row>
    <row r="60" spans="2:9" x14ac:dyDescent="0.25">
      <c r="B60" s="177" t="s">
        <v>0</v>
      </c>
      <c r="C60" s="178"/>
      <c r="D60" s="178"/>
      <c r="E60" s="178"/>
      <c r="F60" s="178"/>
      <c r="G60" s="265"/>
      <c r="H60" s="178" t="s">
        <v>136</v>
      </c>
      <c r="I60" s="179" t="s">
        <v>137</v>
      </c>
    </row>
    <row r="61" spans="2:9" x14ac:dyDescent="0.25">
      <c r="B61" s="169" t="s">
        <v>19</v>
      </c>
      <c r="C61" s="9"/>
      <c r="D61" s="9"/>
      <c r="E61" s="9"/>
      <c r="F61" s="9"/>
      <c r="G61" s="264"/>
      <c r="H61" s="62">
        <f>'LAMB_FIXED COST'!M10</f>
        <v>608.125</v>
      </c>
      <c r="I61" s="171">
        <f>H61/$D$7</f>
        <v>30.40625</v>
      </c>
    </row>
    <row r="62" spans="2:9" x14ac:dyDescent="0.25">
      <c r="B62" s="172" t="s">
        <v>126</v>
      </c>
      <c r="C62" s="9"/>
      <c r="D62" s="9"/>
      <c r="E62" s="9"/>
      <c r="F62" s="9"/>
      <c r="G62" s="264"/>
      <c r="H62" s="62">
        <f>'LAMB_FIXED COST'!M20</f>
        <v>1252.125</v>
      </c>
      <c r="I62" s="171">
        <f t="shared" ref="I62:I64" si="7">H62/$D$7</f>
        <v>62.606250000000003</v>
      </c>
    </row>
    <row r="63" spans="2:9" x14ac:dyDescent="0.25">
      <c r="B63" s="169" t="s">
        <v>127</v>
      </c>
      <c r="C63" s="9"/>
      <c r="D63" s="9"/>
      <c r="E63" s="9"/>
      <c r="F63" s="9"/>
      <c r="G63" s="264"/>
      <c r="H63" s="62">
        <f>'LAMB_FIXED COST'!M32</f>
        <v>111.825</v>
      </c>
      <c r="I63" s="171">
        <f>H63/$D$7</f>
        <v>5.5912500000000005</v>
      </c>
    </row>
    <row r="64" spans="2:9" x14ac:dyDescent="0.25">
      <c r="B64" s="172" t="s">
        <v>20</v>
      </c>
      <c r="C64" s="33"/>
      <c r="D64" s="33"/>
      <c r="E64" s="33"/>
      <c r="F64" s="33"/>
      <c r="G64" s="266"/>
      <c r="H64" s="62">
        <f>'LAMB_FIXED COST'!M37</f>
        <v>3175</v>
      </c>
      <c r="I64" s="171">
        <f t="shared" si="7"/>
        <v>158.75</v>
      </c>
    </row>
    <row r="65" spans="2:9" ht="15.75" thickBot="1" x14ac:dyDescent="0.3">
      <c r="B65" s="276" t="s">
        <v>7</v>
      </c>
      <c r="C65" s="187"/>
      <c r="D65" s="187"/>
      <c r="E65" s="187"/>
      <c r="F65" s="187"/>
      <c r="G65" s="267"/>
      <c r="H65" s="80">
        <f>'LAMB_FIXED COST'!M45</f>
        <v>1050</v>
      </c>
      <c r="I65" s="188">
        <f>H65/$D$7</f>
        <v>52.5</v>
      </c>
    </row>
    <row r="66" spans="2:9" ht="15.75" thickBot="1" x14ac:dyDescent="0.3">
      <c r="B66" s="192" t="s">
        <v>131</v>
      </c>
      <c r="C66" s="193"/>
      <c r="D66" s="193"/>
      <c r="E66" s="193"/>
      <c r="F66" s="193"/>
      <c r="G66" s="268"/>
      <c r="H66" s="194">
        <f>SUM(H61:H65)</f>
        <v>6197.0749999999998</v>
      </c>
      <c r="I66" s="195">
        <f>SUM(I61:I65)</f>
        <v>309.85374999999999</v>
      </c>
    </row>
    <row r="67" spans="2:9" ht="15.75" thickBot="1" x14ac:dyDescent="0.3">
      <c r="B67" s="189" t="s">
        <v>132</v>
      </c>
      <c r="C67" s="145"/>
      <c r="D67" s="145"/>
      <c r="E67" s="145"/>
      <c r="F67" s="145"/>
      <c r="G67" s="269"/>
      <c r="H67" s="190">
        <f>SUM(H57+H66)</f>
        <v>31224.975000000002</v>
      </c>
      <c r="I67" s="191">
        <f>SUM(I57+I66)</f>
        <v>1561.24875</v>
      </c>
    </row>
    <row r="68" spans="2:9" ht="15.75" thickBot="1" x14ac:dyDescent="0.3">
      <c r="B68" s="146"/>
      <c r="C68" s="34"/>
      <c r="D68" s="34"/>
      <c r="E68" s="34"/>
      <c r="F68" s="34"/>
      <c r="G68" s="270"/>
      <c r="H68" s="35"/>
      <c r="I68" s="34"/>
    </row>
    <row r="69" spans="2:9" x14ac:dyDescent="0.25">
      <c r="B69" s="158" t="s">
        <v>135</v>
      </c>
      <c r="C69" s="180"/>
      <c r="D69" s="180"/>
      <c r="E69" s="180"/>
      <c r="F69" s="180"/>
      <c r="G69" s="271"/>
      <c r="H69" s="181"/>
      <c r="I69" s="182"/>
    </row>
    <row r="70" spans="2:9" x14ac:dyDescent="0.25">
      <c r="B70" s="177" t="s">
        <v>0</v>
      </c>
      <c r="C70" s="183"/>
      <c r="D70" s="183"/>
      <c r="E70" s="183"/>
      <c r="F70" s="183"/>
      <c r="G70" s="272"/>
      <c r="H70" s="252" t="s">
        <v>136</v>
      </c>
      <c r="I70" s="253" t="s">
        <v>137</v>
      </c>
    </row>
    <row r="71" spans="2:9" x14ac:dyDescent="0.25">
      <c r="B71" s="167" t="s">
        <v>147</v>
      </c>
      <c r="C71" s="27"/>
      <c r="D71" s="27"/>
      <c r="E71" s="27"/>
      <c r="F71" s="27"/>
      <c r="G71" s="89"/>
      <c r="H71" s="163">
        <f>H25-H57</f>
        <v>-9966.9000000000015</v>
      </c>
      <c r="I71" s="173">
        <f>I25-I57</f>
        <v>-498.34499999999991</v>
      </c>
    </row>
    <row r="72" spans="2:9" x14ac:dyDescent="0.25">
      <c r="B72" s="167" t="s">
        <v>148</v>
      </c>
      <c r="C72" s="27"/>
      <c r="D72" s="27"/>
      <c r="E72" s="27"/>
      <c r="F72" s="27"/>
      <c r="G72" s="89"/>
      <c r="H72" s="163">
        <f>H25-H66</f>
        <v>8863.9249999999993</v>
      </c>
      <c r="I72" s="173">
        <f>I25-I66</f>
        <v>443.19625000000008</v>
      </c>
    </row>
    <row r="73" spans="2:9" ht="15.75" thickBot="1" x14ac:dyDescent="0.3">
      <c r="B73" s="174" t="s">
        <v>149</v>
      </c>
      <c r="C73" s="32"/>
      <c r="D73" s="32"/>
      <c r="E73" s="32"/>
      <c r="F73" s="32"/>
      <c r="G73" s="273"/>
      <c r="H73" s="175">
        <f>H25-H67</f>
        <v>-16163.975000000002</v>
      </c>
      <c r="I73" s="176">
        <f>I25-I67</f>
        <v>-808.1987499999999</v>
      </c>
    </row>
    <row r="75" spans="2:9" x14ac:dyDescent="0.25">
      <c r="B75" s="36"/>
    </row>
    <row r="76" spans="2:9" x14ac:dyDescent="0.25">
      <c r="B76" s="36"/>
      <c r="C76" s="36"/>
      <c r="D76" s="36"/>
      <c r="E76" s="36"/>
      <c r="F76" s="36"/>
      <c r="G76" s="274"/>
      <c r="H76" s="37"/>
      <c r="I76" s="37"/>
    </row>
    <row r="77" spans="2:9" x14ac:dyDescent="0.25">
      <c r="B77" s="36"/>
      <c r="C77" s="36"/>
      <c r="D77" s="36"/>
      <c r="E77" s="36"/>
      <c r="F77" s="36"/>
      <c r="G77" s="274"/>
      <c r="H77" s="37"/>
      <c r="I77" s="37"/>
    </row>
  </sheetData>
  <mergeCells count="5">
    <mergeCell ref="B26:H26"/>
    <mergeCell ref="B2:I2"/>
    <mergeCell ref="B3:I3"/>
    <mergeCell ref="B59:I59"/>
    <mergeCell ref="B5:D5"/>
  </mergeCells>
  <conditionalFormatting sqref="H71:I73">
    <cfRule type="cellIs" dxfId="5" priority="2" operator="lessThan">
      <formula>0</formula>
    </cfRule>
    <cfRule type="cellIs" priority="3" operator="lessThanOrEqual">
      <formula>0</formula>
    </cfRule>
    <cfRule type="cellIs" dxfId="4" priority="4" operator="greaterThan">
      <formula>0</formula>
    </cfRule>
  </conditionalFormatting>
  <conditionalFormatting sqref="H76">
    <cfRule type="cellIs" dxfId="3" priority="1"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K32"/>
  <sheetViews>
    <sheetView workbookViewId="0">
      <selection activeCell="P19" sqref="P19"/>
    </sheetView>
  </sheetViews>
  <sheetFormatPr defaultRowHeight="15" x14ac:dyDescent="0.25"/>
  <cols>
    <col min="1" max="2" width="9.140625" style="105"/>
    <col min="3" max="3" width="14.140625" style="105" bestFit="1" customWidth="1"/>
    <col min="4" max="4" width="12.7109375" style="105" bestFit="1" customWidth="1"/>
    <col min="5" max="7" width="13.5703125" style="105" bestFit="1" customWidth="1"/>
    <col min="8" max="8" width="14.28515625" style="105" bestFit="1" customWidth="1"/>
    <col min="9" max="9" width="14.28515625" style="105" customWidth="1"/>
    <col min="10" max="10" width="14.28515625" style="105" bestFit="1" customWidth="1"/>
    <col min="11" max="11" width="14.28515625" style="105" customWidth="1"/>
    <col min="12" max="16384" width="9.140625" style="105"/>
  </cols>
  <sheetData>
    <row r="1" spans="2:11" ht="15.75" thickBot="1" x14ac:dyDescent="0.3"/>
    <row r="2" spans="2:11" ht="19.5" thickBot="1" x14ac:dyDescent="0.35">
      <c r="B2" s="301" t="s">
        <v>76</v>
      </c>
      <c r="C2" s="290"/>
      <c r="D2" s="290"/>
      <c r="E2" s="290"/>
      <c r="F2" s="290"/>
      <c r="G2" s="290"/>
      <c r="H2" s="290"/>
      <c r="I2" s="290"/>
      <c r="J2" s="290"/>
      <c r="K2" s="291"/>
    </row>
    <row r="3" spans="2:11" ht="19.5" thickBot="1" x14ac:dyDescent="0.35">
      <c r="B3" s="302" t="s">
        <v>117</v>
      </c>
      <c r="C3" s="303"/>
      <c r="D3" s="303"/>
      <c r="E3" s="303"/>
      <c r="F3" s="303"/>
      <c r="G3" s="303"/>
      <c r="H3" s="303"/>
      <c r="I3" s="303"/>
      <c r="J3" s="303"/>
      <c r="K3" s="304"/>
    </row>
    <row r="4" spans="2:11" ht="16.5" thickBot="1" x14ac:dyDescent="0.3">
      <c r="B4" s="305" t="s">
        <v>118</v>
      </c>
      <c r="C4" s="306"/>
      <c r="D4" s="306"/>
      <c r="E4" s="306"/>
      <c r="F4" s="306"/>
      <c r="G4" s="306"/>
      <c r="H4" s="306"/>
      <c r="I4" s="306"/>
      <c r="J4" s="306"/>
      <c r="K4" s="307"/>
    </row>
    <row r="5" spans="2:11" ht="16.5" thickBot="1" x14ac:dyDescent="0.3">
      <c r="B5" s="308" t="s">
        <v>140</v>
      </c>
      <c r="C5" s="309"/>
      <c r="D5" s="309"/>
      <c r="E5" s="309"/>
      <c r="F5" s="309"/>
      <c r="G5" s="309"/>
      <c r="H5" s="309"/>
      <c r="I5" s="309"/>
      <c r="J5" s="309"/>
      <c r="K5" s="310"/>
    </row>
    <row r="6" spans="2:11" ht="15.75" x14ac:dyDescent="0.25">
      <c r="B6" s="106"/>
      <c r="C6" s="107"/>
      <c r="D6" s="108"/>
      <c r="E6" s="311" t="s">
        <v>119</v>
      </c>
      <c r="F6" s="312"/>
      <c r="G6" s="313"/>
      <c r="H6" s="109"/>
      <c r="I6" s="311" t="s">
        <v>120</v>
      </c>
      <c r="J6" s="312"/>
      <c r="K6" s="314"/>
    </row>
    <row r="7" spans="2:11" x14ac:dyDescent="0.25">
      <c r="B7" s="106"/>
      <c r="C7" s="107"/>
      <c r="D7" s="108"/>
      <c r="E7" s="110">
        <v>0.5</v>
      </c>
      <c r="F7" s="111">
        <v>0.25</v>
      </c>
      <c r="G7" s="111">
        <v>0.1</v>
      </c>
      <c r="H7" s="112" t="s">
        <v>143</v>
      </c>
      <c r="I7" s="111">
        <v>0.1</v>
      </c>
      <c r="J7" s="111">
        <v>0.25</v>
      </c>
      <c r="K7" s="113">
        <v>0.5</v>
      </c>
    </row>
    <row r="8" spans="2:11" x14ac:dyDescent="0.25">
      <c r="B8" s="114"/>
      <c r="C8" s="115"/>
      <c r="D8" s="116"/>
      <c r="E8" s="117">
        <f>ROUND((H8*(1-E7)),2)</f>
        <v>3.75</v>
      </c>
      <c r="F8" s="118">
        <f>ROUND((H8*(1-F7)),2)</f>
        <v>5.63</v>
      </c>
      <c r="G8" s="118">
        <f>ROUND((H8*(1-G7)),2)</f>
        <v>6.75</v>
      </c>
      <c r="H8" s="119">
        <f>'LAMB_ENTERPRISE BUDGET'!G20</f>
        <v>7.5</v>
      </c>
      <c r="I8" s="118">
        <f>ROUND(($H$8*(1+I$7)),2)</f>
        <v>8.25</v>
      </c>
      <c r="J8" s="118">
        <f t="shared" ref="J8:K8" si="0">ROUND(($H$8*(1+J$7)),2)</f>
        <v>9.3800000000000008</v>
      </c>
      <c r="K8" s="120">
        <f t="shared" si="0"/>
        <v>11.25</v>
      </c>
    </row>
    <row r="9" spans="2:11" x14ac:dyDescent="0.25">
      <c r="B9" s="319" t="s">
        <v>121</v>
      </c>
      <c r="C9" s="121">
        <v>0.5</v>
      </c>
      <c r="D9" s="122">
        <f>ROUND($D$12*(1-$C9),2)</f>
        <v>935</v>
      </c>
      <c r="E9" s="123">
        <f>($D9*E$8)-'LAMB_ENTERPRISE BUDGET'!$H$67</f>
        <v>-27718.725000000002</v>
      </c>
      <c r="F9" s="123">
        <f>($D9*F$8)-'LAMB_ENTERPRISE BUDGET'!$H$67</f>
        <v>-25960.925000000003</v>
      </c>
      <c r="G9" s="123">
        <f>($D9*G$8)-'LAMB_ENTERPRISE BUDGET'!$H$67</f>
        <v>-24913.725000000002</v>
      </c>
      <c r="H9" s="123">
        <f>($D9*H$8)-'LAMB_ENTERPRISE BUDGET'!$H$67</f>
        <v>-24212.475000000002</v>
      </c>
      <c r="I9" s="123">
        <f>($D9*I$8)-'LAMB_ENTERPRISE BUDGET'!$H$67</f>
        <v>-23511.225000000002</v>
      </c>
      <c r="J9" s="123">
        <f>($D9*J$8)-'LAMB_ENTERPRISE BUDGET'!$H$67</f>
        <v>-22454.675000000003</v>
      </c>
      <c r="K9" s="124">
        <f>($D9*K$8)-'LAMB_ENTERPRISE BUDGET'!$H$67</f>
        <v>-20706.225000000002</v>
      </c>
    </row>
    <row r="10" spans="2:11" x14ac:dyDescent="0.25">
      <c r="B10" s="320"/>
      <c r="C10" s="125">
        <v>0.25</v>
      </c>
      <c r="D10" s="126">
        <f t="shared" ref="D10" si="1">ROUND($D$12*(1-$C10),2)</f>
        <v>1402.5</v>
      </c>
      <c r="E10" s="123">
        <f>($D10*E$8)-'LAMB_ENTERPRISE BUDGET'!$H$67</f>
        <v>-25965.600000000002</v>
      </c>
      <c r="F10" s="123">
        <f>($D10*F$8)-'LAMB_ENTERPRISE BUDGET'!$H$67</f>
        <v>-23328.9</v>
      </c>
      <c r="G10" s="123">
        <f>($D10*G$8)-'LAMB_ENTERPRISE BUDGET'!$H$67</f>
        <v>-21758.100000000002</v>
      </c>
      <c r="H10" s="123">
        <f>($D10*H$8)-'LAMB_ENTERPRISE BUDGET'!$H$67</f>
        <v>-20706.225000000002</v>
      </c>
      <c r="I10" s="123">
        <f>($D10*I$8)-'LAMB_ENTERPRISE BUDGET'!$H$67</f>
        <v>-19654.350000000002</v>
      </c>
      <c r="J10" s="123">
        <f>($D10*J$8)-'LAMB_ENTERPRISE BUDGET'!$H$67</f>
        <v>-18069.525000000001</v>
      </c>
      <c r="K10" s="124">
        <f>($D10*K$8)-'LAMB_ENTERPRISE BUDGET'!$H$67</f>
        <v>-15446.850000000002</v>
      </c>
    </row>
    <row r="11" spans="2:11" x14ac:dyDescent="0.25">
      <c r="B11" s="321"/>
      <c r="C11" s="125">
        <v>0.1</v>
      </c>
      <c r="D11" s="126">
        <f>ROUND($D$12*(1-$C11),2)</f>
        <v>1683</v>
      </c>
      <c r="E11" s="123">
        <f>($D11*E$8)-'LAMB_ENTERPRISE BUDGET'!$H$67</f>
        <v>-24913.725000000002</v>
      </c>
      <c r="F11" s="123">
        <f>($D11*F$8)-'LAMB_ENTERPRISE BUDGET'!$H$67</f>
        <v>-21749.685000000005</v>
      </c>
      <c r="G11" s="123">
        <f>($D11*G$8)-'LAMB_ENTERPRISE BUDGET'!$H$67</f>
        <v>-19864.725000000002</v>
      </c>
      <c r="H11" s="123">
        <f>($D11*H$8)-'LAMB_ENTERPRISE BUDGET'!$H$67</f>
        <v>-18602.475000000002</v>
      </c>
      <c r="I11" s="123">
        <f>($D11*I$8)-'LAMB_ENTERPRISE BUDGET'!$H$67</f>
        <v>-17340.225000000002</v>
      </c>
      <c r="J11" s="123">
        <f>($D11*J$8)-'LAMB_ENTERPRISE BUDGET'!$H$67</f>
        <v>-15438.435000000001</v>
      </c>
      <c r="K11" s="124">
        <f>($D11*K$8)-'LAMB_ENTERPRISE BUDGET'!$H$67</f>
        <v>-12291.225000000002</v>
      </c>
    </row>
    <row r="12" spans="2:11" x14ac:dyDescent="0.25">
      <c r="B12" s="127"/>
      <c r="C12" s="128" t="s">
        <v>142</v>
      </c>
      <c r="D12" s="129">
        <f>'LAMB_ENTERPRISE BUDGET'!F20</f>
        <v>1870</v>
      </c>
      <c r="E12" s="123">
        <f>($D12*E$8)-'LAMB_ENTERPRISE BUDGET'!$H$67</f>
        <v>-24212.475000000002</v>
      </c>
      <c r="F12" s="123">
        <f>($D12*F$8)-'LAMB_ENTERPRISE BUDGET'!$H$67</f>
        <v>-20696.875</v>
      </c>
      <c r="G12" s="123">
        <f>($D12*G$8)-'LAMB_ENTERPRISE BUDGET'!$H$67</f>
        <v>-18602.475000000002</v>
      </c>
      <c r="H12" s="123">
        <f>($D12*H$8)-'LAMB_ENTERPRISE BUDGET'!$H$67</f>
        <v>-17199.975000000002</v>
      </c>
      <c r="I12" s="123">
        <f>($D12*I$8)-'LAMB_ENTERPRISE BUDGET'!$H$67</f>
        <v>-15797.475000000002</v>
      </c>
      <c r="J12" s="123">
        <f>($D12*J$8)-'LAMB_ENTERPRISE BUDGET'!$H$67</f>
        <v>-13684.375</v>
      </c>
      <c r="K12" s="124">
        <f>($D12*K$8)-'LAMB_ENTERPRISE BUDGET'!$H$67</f>
        <v>-10187.475000000002</v>
      </c>
    </row>
    <row r="13" spans="2:11" x14ac:dyDescent="0.25">
      <c r="B13" s="315" t="s">
        <v>122</v>
      </c>
      <c r="C13" s="111">
        <v>0.1</v>
      </c>
      <c r="D13" s="126">
        <f>ROUND($D$12*(1+$C13),2)</f>
        <v>2057</v>
      </c>
      <c r="E13" s="123">
        <f>($D13*E$8)-'LAMB_ENTERPRISE BUDGET'!$H$67</f>
        <v>-23511.225000000002</v>
      </c>
      <c r="F13" s="123">
        <f>($D13*F$8)-'LAMB_ENTERPRISE BUDGET'!$H$67</f>
        <v>-19644.065000000002</v>
      </c>
      <c r="G13" s="123">
        <f>($D13*G$8)-'LAMB_ENTERPRISE BUDGET'!$H$67</f>
        <v>-17340.225000000002</v>
      </c>
      <c r="H13" s="123">
        <f>($D13*H$8)-'LAMB_ENTERPRISE BUDGET'!$H$67</f>
        <v>-15797.475000000002</v>
      </c>
      <c r="I13" s="123">
        <f>($D13*I$8)-'LAMB_ENTERPRISE BUDGET'!$H$67</f>
        <v>-14254.725000000002</v>
      </c>
      <c r="J13" s="123">
        <f>($D13*J$8)-'LAMB_ENTERPRISE BUDGET'!$H$67</f>
        <v>-11930.315000000002</v>
      </c>
      <c r="K13" s="124">
        <f>($D13*K$8)-'LAMB_ENTERPRISE BUDGET'!$H$67</f>
        <v>-8083.7250000000022</v>
      </c>
    </row>
    <row r="14" spans="2:11" x14ac:dyDescent="0.25">
      <c r="B14" s="316"/>
      <c r="C14" s="111">
        <v>0.25</v>
      </c>
      <c r="D14" s="126">
        <f>ROUND($D$12*(1+$C14),2)</f>
        <v>2337.5</v>
      </c>
      <c r="E14" s="123">
        <f>($D14*E$8)-'LAMB_ENTERPRISE BUDGET'!$H$67</f>
        <v>-22459.350000000002</v>
      </c>
      <c r="F14" s="123">
        <f>($D14*F$8)-'LAMB_ENTERPRISE BUDGET'!$H$67</f>
        <v>-18064.850000000002</v>
      </c>
      <c r="G14" s="123">
        <f>($D14*G$8)-'LAMB_ENTERPRISE BUDGET'!$H$67</f>
        <v>-15446.850000000002</v>
      </c>
      <c r="H14" s="123">
        <f>($D14*H$8)-'LAMB_ENTERPRISE BUDGET'!$H$67</f>
        <v>-13693.725000000002</v>
      </c>
      <c r="I14" s="123">
        <f>($D14*I$8)-'LAMB_ENTERPRISE BUDGET'!$H$67</f>
        <v>-11940.600000000002</v>
      </c>
      <c r="J14" s="123">
        <f>($D14*J$8)-'LAMB_ENTERPRISE BUDGET'!$H$67</f>
        <v>-9299.2249999999985</v>
      </c>
      <c r="K14" s="124">
        <f>($D14*K$8)-'LAMB_ENTERPRISE BUDGET'!$H$67</f>
        <v>-4928.1000000000022</v>
      </c>
    </row>
    <row r="15" spans="2:11" ht="15.75" thickBot="1" x14ac:dyDescent="0.3">
      <c r="B15" s="318"/>
      <c r="C15" s="130">
        <v>0.5</v>
      </c>
      <c r="D15" s="131">
        <f>ROUND($D$12*(1+$C15),2)</f>
        <v>2805</v>
      </c>
      <c r="E15" s="132">
        <f>($D15*E$8)-'LAMB_ENTERPRISE BUDGET'!$H$67</f>
        <v>-20706.225000000002</v>
      </c>
      <c r="F15" s="132">
        <f>($D15*F$8)-'LAMB_ENTERPRISE BUDGET'!$H$67</f>
        <v>-15432.825000000003</v>
      </c>
      <c r="G15" s="132">
        <f>($D15*G$8)-'LAMB_ENTERPRISE BUDGET'!$H$67</f>
        <v>-12291.225000000002</v>
      </c>
      <c r="H15" s="132">
        <f>($D15*H$8)-'LAMB_ENTERPRISE BUDGET'!$H$67</f>
        <v>-10187.475000000002</v>
      </c>
      <c r="I15" s="132">
        <f>($D15*I$8)-'LAMB_ENTERPRISE BUDGET'!$H$67</f>
        <v>-8083.7250000000022</v>
      </c>
      <c r="J15" s="132">
        <f>($D15*J$8)-'LAMB_ENTERPRISE BUDGET'!$H$67</f>
        <v>-4914.0750000000007</v>
      </c>
      <c r="K15" s="133">
        <f>($D15*K$8)-'LAMB_ENTERPRISE BUDGET'!$H$67</f>
        <v>331.27499999999782</v>
      </c>
    </row>
    <row r="18" spans="2:11" ht="15.75" thickBot="1" x14ac:dyDescent="0.3">
      <c r="J18" s="134"/>
      <c r="K18" s="134"/>
    </row>
    <row r="19" spans="2:11" ht="19.5" thickBot="1" x14ac:dyDescent="0.35">
      <c r="B19" s="301" t="s">
        <v>76</v>
      </c>
      <c r="C19" s="290"/>
      <c r="D19" s="290"/>
      <c r="E19" s="290"/>
      <c r="F19" s="290"/>
      <c r="G19" s="290"/>
      <c r="H19" s="290"/>
      <c r="I19" s="290"/>
      <c r="J19" s="290"/>
      <c r="K19" s="291"/>
    </row>
    <row r="20" spans="2:11" ht="19.5" thickBot="1" x14ac:dyDescent="0.35">
      <c r="B20" s="302" t="s">
        <v>123</v>
      </c>
      <c r="C20" s="303"/>
      <c r="D20" s="303"/>
      <c r="E20" s="303"/>
      <c r="F20" s="303"/>
      <c r="G20" s="303"/>
      <c r="H20" s="303"/>
      <c r="I20" s="303"/>
      <c r="J20" s="303"/>
      <c r="K20" s="304"/>
    </row>
    <row r="21" spans="2:11" ht="16.5" thickBot="1" x14ac:dyDescent="0.3">
      <c r="B21" s="305" t="s">
        <v>124</v>
      </c>
      <c r="C21" s="306"/>
      <c r="D21" s="306"/>
      <c r="E21" s="306"/>
      <c r="F21" s="306"/>
      <c r="G21" s="306"/>
      <c r="H21" s="306"/>
      <c r="I21" s="306"/>
      <c r="J21" s="306"/>
      <c r="K21" s="307"/>
    </row>
    <row r="22" spans="2:11" ht="16.5" thickBot="1" x14ac:dyDescent="0.3">
      <c r="B22" s="308" t="s">
        <v>141</v>
      </c>
      <c r="C22" s="309"/>
      <c r="D22" s="309"/>
      <c r="E22" s="309"/>
      <c r="F22" s="309"/>
      <c r="G22" s="309"/>
      <c r="H22" s="309"/>
      <c r="I22" s="309"/>
      <c r="J22" s="309"/>
      <c r="K22" s="310"/>
    </row>
    <row r="23" spans="2:11" ht="15.75" x14ac:dyDescent="0.25">
      <c r="B23" s="106"/>
      <c r="C23" s="107"/>
      <c r="D23" s="135"/>
      <c r="E23" s="311" t="s">
        <v>119</v>
      </c>
      <c r="F23" s="312"/>
      <c r="G23" s="313"/>
      <c r="H23" s="109"/>
      <c r="I23" s="311" t="s">
        <v>120</v>
      </c>
      <c r="J23" s="312"/>
      <c r="K23" s="314"/>
    </row>
    <row r="24" spans="2:11" x14ac:dyDescent="0.25">
      <c r="B24" s="106"/>
      <c r="C24" s="107"/>
      <c r="D24" s="107"/>
      <c r="E24" s="111">
        <v>0.5</v>
      </c>
      <c r="F24" s="111">
        <v>0.25</v>
      </c>
      <c r="G24" s="111">
        <v>0.1</v>
      </c>
      <c r="H24" s="112" t="s">
        <v>143</v>
      </c>
      <c r="I24" s="111">
        <v>0.1</v>
      </c>
      <c r="J24" s="111">
        <v>0.25</v>
      </c>
      <c r="K24" s="113">
        <v>0.5</v>
      </c>
    </row>
    <row r="25" spans="2:11" x14ac:dyDescent="0.25">
      <c r="B25" s="106"/>
      <c r="C25" s="107"/>
      <c r="D25" s="116"/>
      <c r="E25" s="117">
        <f>ROUND(($H$25*(1-E24)),2)</f>
        <v>3.75</v>
      </c>
      <c r="F25" s="118">
        <f t="shared" ref="F25:G25" si="2">ROUND(($H$25*(1-F24)),2)</f>
        <v>5.63</v>
      </c>
      <c r="G25" s="118">
        <f t="shared" si="2"/>
        <v>6.75</v>
      </c>
      <c r="H25" s="119">
        <f>'LAMB_ENTERPRISE BUDGET'!G20</f>
        <v>7.5</v>
      </c>
      <c r="I25" s="118">
        <f>ROUND(($H$25*(1+I$24)),2)</f>
        <v>8.25</v>
      </c>
      <c r="J25" s="118">
        <f t="shared" ref="J25:K25" si="3">ROUND(($H$25*(1+J$24)),2)</f>
        <v>9.3800000000000008</v>
      </c>
      <c r="K25" s="120">
        <f t="shared" si="3"/>
        <v>11.25</v>
      </c>
    </row>
    <row r="26" spans="2:11" x14ac:dyDescent="0.25">
      <c r="B26" s="315" t="s">
        <v>121</v>
      </c>
      <c r="C26" s="136">
        <v>0.5</v>
      </c>
      <c r="D26" s="137">
        <f>ROUND(($D$29*(1-$C26)),2)</f>
        <v>15612.49</v>
      </c>
      <c r="E26" s="138">
        <f>ROUND($D26/E$25,0)</f>
        <v>4163</v>
      </c>
      <c r="F26" s="138">
        <f>ROUND($D26/F$25,0)</f>
        <v>2773</v>
      </c>
      <c r="G26" s="138">
        <f>ROUND($D26/G$25,0)</f>
        <v>2313</v>
      </c>
      <c r="H26" s="138">
        <f t="shared" ref="H26:K32" si="4">ROUND($D26/H$25,0)</f>
        <v>2082</v>
      </c>
      <c r="I26" s="138">
        <f t="shared" si="4"/>
        <v>1892</v>
      </c>
      <c r="J26" s="138">
        <f t="shared" si="4"/>
        <v>1664</v>
      </c>
      <c r="K26" s="139">
        <f t="shared" si="4"/>
        <v>1388</v>
      </c>
    </row>
    <row r="27" spans="2:11" x14ac:dyDescent="0.25">
      <c r="B27" s="316"/>
      <c r="C27" s="111">
        <v>0.25</v>
      </c>
      <c r="D27" s="140">
        <f t="shared" ref="D27:D28" si="5">ROUND(($D$29*(1-$C27)),2)</f>
        <v>23418.73</v>
      </c>
      <c r="E27" s="138">
        <f t="shared" ref="E27:G32" si="6">ROUND($D27/E$25,0)</f>
        <v>6245</v>
      </c>
      <c r="F27" s="138">
        <f t="shared" si="6"/>
        <v>4160</v>
      </c>
      <c r="G27" s="138">
        <f t="shared" si="6"/>
        <v>3469</v>
      </c>
      <c r="H27" s="138">
        <f t="shared" si="4"/>
        <v>3122</v>
      </c>
      <c r="I27" s="138">
        <f t="shared" si="4"/>
        <v>2839</v>
      </c>
      <c r="J27" s="138">
        <f t="shared" si="4"/>
        <v>2497</v>
      </c>
      <c r="K27" s="139">
        <f t="shared" si="4"/>
        <v>2082</v>
      </c>
    </row>
    <row r="28" spans="2:11" x14ac:dyDescent="0.25">
      <c r="B28" s="317"/>
      <c r="C28" s="111">
        <v>0.1</v>
      </c>
      <c r="D28" s="140">
        <f t="shared" si="5"/>
        <v>28102.48</v>
      </c>
      <c r="E28" s="138">
        <f t="shared" si="6"/>
        <v>7494</v>
      </c>
      <c r="F28" s="138">
        <f t="shared" si="6"/>
        <v>4992</v>
      </c>
      <c r="G28" s="138">
        <f t="shared" si="6"/>
        <v>4163</v>
      </c>
      <c r="H28" s="138">
        <f t="shared" si="4"/>
        <v>3747</v>
      </c>
      <c r="I28" s="138">
        <f t="shared" si="4"/>
        <v>3406</v>
      </c>
      <c r="J28" s="138">
        <f t="shared" si="4"/>
        <v>2996</v>
      </c>
      <c r="K28" s="139">
        <f t="shared" si="4"/>
        <v>2498</v>
      </c>
    </row>
    <row r="29" spans="2:11" x14ac:dyDescent="0.25">
      <c r="B29" s="127"/>
      <c r="C29" s="128" t="s">
        <v>34</v>
      </c>
      <c r="D29" s="141">
        <f>'LAMB_ENTERPRISE BUDGET'!H67</f>
        <v>31224.975000000002</v>
      </c>
      <c r="E29" s="138">
        <f t="shared" si="6"/>
        <v>8327</v>
      </c>
      <c r="F29" s="138">
        <f t="shared" si="6"/>
        <v>5546</v>
      </c>
      <c r="G29" s="138">
        <f t="shared" si="6"/>
        <v>4626</v>
      </c>
      <c r="H29" s="138">
        <f>ROUND($D29/H$25,0)</f>
        <v>4163</v>
      </c>
      <c r="I29" s="138">
        <f t="shared" si="4"/>
        <v>3785</v>
      </c>
      <c r="J29" s="138">
        <f t="shared" si="4"/>
        <v>3329</v>
      </c>
      <c r="K29" s="139">
        <f t="shared" si="4"/>
        <v>2776</v>
      </c>
    </row>
    <row r="30" spans="2:11" x14ac:dyDescent="0.25">
      <c r="B30" s="315" t="s">
        <v>122</v>
      </c>
      <c r="C30" s="111">
        <v>0.1</v>
      </c>
      <c r="D30" s="140">
        <f>ROUND(($D$29*(1+$C30)),2)</f>
        <v>34347.47</v>
      </c>
      <c r="E30" s="138">
        <f t="shared" si="6"/>
        <v>9159</v>
      </c>
      <c r="F30" s="138">
        <f t="shared" si="6"/>
        <v>6101</v>
      </c>
      <c r="G30" s="138">
        <f t="shared" si="6"/>
        <v>5089</v>
      </c>
      <c r="H30" s="138">
        <f t="shared" si="4"/>
        <v>4580</v>
      </c>
      <c r="I30" s="138">
        <f t="shared" si="4"/>
        <v>4163</v>
      </c>
      <c r="J30" s="138">
        <f t="shared" si="4"/>
        <v>3662</v>
      </c>
      <c r="K30" s="139">
        <f t="shared" si="4"/>
        <v>3053</v>
      </c>
    </row>
    <row r="31" spans="2:11" x14ac:dyDescent="0.25">
      <c r="B31" s="316"/>
      <c r="C31" s="111">
        <v>0.25</v>
      </c>
      <c r="D31" s="140">
        <f>ROUND(($D$29*(1+$C31)),2)</f>
        <v>39031.22</v>
      </c>
      <c r="E31" s="138">
        <f t="shared" si="6"/>
        <v>10408</v>
      </c>
      <c r="F31" s="138">
        <f t="shared" si="6"/>
        <v>6933</v>
      </c>
      <c r="G31" s="138">
        <f t="shared" si="6"/>
        <v>5782</v>
      </c>
      <c r="H31" s="138">
        <f t="shared" si="4"/>
        <v>5204</v>
      </c>
      <c r="I31" s="138">
        <f t="shared" si="4"/>
        <v>4731</v>
      </c>
      <c r="J31" s="138">
        <f t="shared" si="4"/>
        <v>4161</v>
      </c>
      <c r="K31" s="139">
        <f t="shared" si="4"/>
        <v>3469</v>
      </c>
    </row>
    <row r="32" spans="2:11" ht="15.75" thickBot="1" x14ac:dyDescent="0.3">
      <c r="B32" s="318"/>
      <c r="C32" s="130">
        <v>0.5</v>
      </c>
      <c r="D32" s="142">
        <f>ROUND(($D$29*(1+$C32)),2)</f>
        <v>46837.46</v>
      </c>
      <c r="E32" s="143">
        <f t="shared" si="6"/>
        <v>12490</v>
      </c>
      <c r="F32" s="143">
        <f t="shared" si="6"/>
        <v>8319</v>
      </c>
      <c r="G32" s="143">
        <f t="shared" si="6"/>
        <v>6939</v>
      </c>
      <c r="H32" s="143">
        <f t="shared" si="4"/>
        <v>6245</v>
      </c>
      <c r="I32" s="143">
        <f t="shared" si="4"/>
        <v>5677</v>
      </c>
      <c r="J32" s="143">
        <f t="shared" si="4"/>
        <v>4993</v>
      </c>
      <c r="K32" s="144">
        <f t="shared" si="4"/>
        <v>4163</v>
      </c>
    </row>
  </sheetData>
  <mergeCells count="16">
    <mergeCell ref="E23:G23"/>
    <mergeCell ref="I23:K23"/>
    <mergeCell ref="B26:B28"/>
    <mergeCell ref="B30:B32"/>
    <mergeCell ref="B9:B11"/>
    <mergeCell ref="B13:B15"/>
    <mergeCell ref="B19:K19"/>
    <mergeCell ref="B20:K20"/>
    <mergeCell ref="B21:K21"/>
    <mergeCell ref="B22:K22"/>
    <mergeCell ref="B2:K2"/>
    <mergeCell ref="B3:K3"/>
    <mergeCell ref="B4:K4"/>
    <mergeCell ref="B5:K5"/>
    <mergeCell ref="E6:G6"/>
    <mergeCell ref="I6:K6"/>
  </mergeCells>
  <conditionalFormatting sqref="E9:K15">
    <cfRule type="cellIs" dxfId="2" priority="1" operator="greaterThan">
      <formula>0</formula>
    </cfRule>
    <cfRule type="cellIs" dxfId="1" priority="2" operator="lessThan">
      <formula>0</formula>
    </cfRule>
    <cfRule type="cellIs" dxfId="0" priority="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vt:lpstr>
      <vt:lpstr>LAMB_FIXED COST</vt:lpstr>
      <vt:lpstr>LAMB_ENTERPRISE BUDGET</vt:lpstr>
      <vt:lpstr>ANALYSIS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Ermias Afeworki</dc:creator>
  <cp:lastModifiedBy>Caroline Chiu</cp:lastModifiedBy>
  <dcterms:created xsi:type="dcterms:W3CDTF">2014-07-25T20:10:12Z</dcterms:created>
  <dcterms:modified xsi:type="dcterms:W3CDTF">2015-06-16T21:27:53Z</dcterms:modified>
</cp:coreProperties>
</file>