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<sst xmlns="http://schemas.openxmlformats.org/spreadsheetml/2006/main" count="460" uniqueCount="247">
  <si>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</si>
  <si>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</si>
  <si>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</si>
  <si>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</si>
  <si>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</si>
  <si>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</si>
  <si>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</si>
  <si>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</si>
  <si>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</si>
  <si>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</si>
  <si>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</si>
  <si>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</si>
  <si>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</si>
  <si>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</si>
  <si>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</si>
  <si>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</si>
  <si>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</si>
  <si>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</si>
  <si>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</si>
  <si>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</si>
  <si>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</si>
  <si>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</si>
  <si>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</si>
  <si>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</si>
  <si>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</si>
  <si>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</si>
  <si>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</si>
  <si>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</si>
  <si>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</si>
  <si>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</si>
  <si>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</si>
  <si>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</si>
  <si>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</si>
  <si>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</si>
  <si>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</si>
  <si>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</si>
  <si>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</si>
  <si>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</si>
  <si>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</si>
  <si>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</si>
  <si>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</si>
  <si>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</si>
  <si>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</si>
  <si>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</si>
  <si>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</si>
  <si>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</si>
  <si>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</si>
  <si>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</si>
  <si>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</si>
  <si>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</si>
  <si>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</si>
  <si>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</si>
  <si>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</si>
  <si>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</si>
  <si>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</si>
  <si>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</si>
  <si>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</si>
  <si>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</si>
  <si>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</si>
  <si>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</si>
  <si>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</si>
  <si>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</si>
  <si>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</si>
  <si>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</si>
  <si>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</si>
  <si>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</si>
  <si>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</si>
  <si>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</si>
  <si>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</si>
  <si>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</si>
  <si>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</si>
  <si>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</si>
  <si>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</si>
  <si>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</si>
  <si>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</si>
  <si>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</si>
  <si>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</si>
  <si>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</si>
  <si>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</si>
  <si>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</si>
  <si>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</si>
  <si>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</si>
  <si>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</si>
  <si>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</si>
  <si>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</si>
  <si>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</si>
  <si>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</si>
  <si>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</si>
  <si>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</si>
  <si>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</si>
  <si>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</si>
  <si>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</si>
  <si>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</si>
  <si>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</si>
  <si>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</si>
  <si>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</si>
  <si>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</si>
  <si>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</si>
  <si>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</si>
  <si>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</si>
  <si>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</si>
  <si>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</si>
  <si>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</si>
  <si>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</si>
  <si>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</si>
  <si>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</si>
  <si>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</si>
  <si>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</si>
  <si>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</si>
  <si>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</si>
  <si>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</si>
  <si>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</si>
  <si>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</si>
  <si>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</si>
  <si>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</si>
  <si>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</si>
  <si>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</si>
  <si>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</si>
  <si>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</si>
  <si>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</si>
  <si>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</si>
  <si>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</si>
  <si>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</si>
  <si>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</si>
  <si>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</si>
  <si>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</si>
  <si>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</si>
  <si>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</si>
  <si>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</si>
  <si>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</si>
  <si>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</si>
  <si>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</si>
  <si>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</si>
  <si>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</si>
  <si>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</si>
  <si>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</si>
  <si>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</si>
  <si>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</si>
  <si>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</si>
  <si>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</si>
  <si>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</si>
  <si>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</si>
  <si>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</si>
  <si>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</si>
  <si>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</si>
  <si>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</si>
  <si>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</si>
  <si>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</si>
  <si>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</si>
  <si>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</si>
  <si>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</si>
  <si>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</si>
  <si>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</si>
  <si>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</si>
  <si>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</si>
  <si>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</si>
  <si>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</si>
  <si>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</si>
  <si>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</si>
  <si>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</si>
  <si>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</si>
  <si>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</si>
  <si>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</si>
  <si>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</si>
  <si>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</si>
  <si>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</si>
  <si>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</si>
  <si>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</si>
  <si>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</si>
  <si>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</si>
  <si>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</si>
  <si>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</si>
  <si>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</si>
  <si>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</si>
  <si>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</si>
  <si>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</si>
  <si>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</si>
  <si>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</si>
  <si>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</si>
  <si>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</si>
  <si>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</si>
  <si>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</si>
  <si>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</si>
  <si>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</si>
  <si>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</si>
  <si>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</si>
  <si>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</si>
  <si>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</si>
  <si>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</si>
  <si>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</si>
  <si>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</si>
  <si>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</si>
  <si>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</si>
  <si>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</si>
  <si>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</si>
  <si>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</si>
  <si>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Weeding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</si>
  <si>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</si>
  <si>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</si>
  <si>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</si>
  <si>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</si>
  <si>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</si>
  <si>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</si>
  <si>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</si>
  <si>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Pruning</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</si>
  <si>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</si>
  <si>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</si>
  <si>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</si>
  <si>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</si>
  <si>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</si>
  <si>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</si>
  <si>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</si>
  <si>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</si>
  <si>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</si>
  <si>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</si>
  <si>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</si>
  <si>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</si>
  <si>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</si>
  <si>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</si>
  <si>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</si>
  <si>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</si>
  <si>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</si>
  <si>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</si>
  <si>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</si>
  <si>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</si>
  <si>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</si>
  <si>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</si>
  <si>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</si>
  <si>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</si>
  <si>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</si>
  <si>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Radish</t>
  </si>
  <si>
    <t>1000 seeds</t>
  </si>
  <si>
    <t>Row cover</t>
  </si>
  <si>
    <t>Rubber bands</t>
  </si>
  <si>
    <t>Irrigating (manage drip or overhead)</t>
  </si>
  <si>
    <t>Prepare for planting (form beds, lay row cover, irrigation set-up, etc)</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</si>
  <si>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</si>
  <si>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</si>
  <si>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</si>
  <si>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</si>
  <si>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</si>
  <si>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</si>
  <si>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 xml:space="preserve"> Yield and Price Information for 16 Vegetables </t>
  </si>
  <si>
    <t>zucchini</t>
  </si>
  <si>
    <t>high tunnelcucumber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</si>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</sst>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8">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7" fillId="0" borderId="15" xfId="0" applyFont="1" applyFill="1" applyBorder="1" applyAlignment="1" applyProtection="1">
      <alignment/>
      <protection locked="0"/>
    </xf>
    <xf numFmtId="0" fontId="47" fillId="0" borderId="12" xfId="0" applyFont="1" applyFill="1" applyBorder="1" applyAlignment="1" applyProtection="1">
      <alignment/>
      <protection locked="0"/>
    </xf>
    <xf numFmtId="164" fontId="47" fillId="34" borderId="13" xfId="0" applyNumberFormat="1" applyFont="1" applyFill="1" applyBorder="1" applyAlignment="1" applyProtection="1">
      <alignment/>
      <protection/>
    </xf>
    <xf numFmtId="0" fontId="47"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6"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7"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2" xfId="0" applyNumberFormat="1" applyFont="1" applyFill="1" applyBorder="1" applyAlignment="1" applyProtection="1">
      <alignment/>
      <protection locked="0"/>
    </xf>
    <xf numFmtId="0" fontId="47" fillId="35" borderId="12" xfId="0" applyFont="1" applyFill="1" applyBorder="1" applyAlignment="1" applyProtection="1">
      <alignment/>
      <protection locked="0"/>
    </xf>
    <xf numFmtId="164" fontId="47" fillId="35" borderId="12"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7" fillId="35" borderId="15" xfId="0" applyFont="1" applyFill="1" applyBorder="1" applyAlignment="1" applyProtection="1">
      <alignment/>
      <protection locked="0"/>
    </xf>
    <xf numFmtId="0" fontId="47" fillId="35" borderId="17"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7" fillId="34" borderId="12"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4" fontId="51" fillId="0" borderId="0" xfId="0" applyNumberFormat="1"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6"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6"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7"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24" xfId="0" applyFont="1" applyFill="1" applyBorder="1" applyAlignment="1" applyProtection="1">
      <alignment horizontal="center" vertical="center"/>
      <protection/>
    </xf>
    <xf numFmtId="0" fontId="49" fillId="36" borderId="12"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5" xfId="0" applyFont="1" applyBorder="1" applyAlignment="1" applyProtection="1">
      <alignment/>
      <protection/>
    </xf>
    <xf numFmtId="0" fontId="49" fillId="0" borderId="12" xfId="44" applyNumberFormat="1"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0" fontId="51" fillId="0" borderId="15" xfId="0" applyFont="1" applyBorder="1" applyAlignment="1" applyProtection="1">
      <alignment/>
      <protection/>
    </xf>
    <xf numFmtId="2" fontId="51"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4" fontId="51" fillId="0" borderId="12" xfId="0" applyNumberFormat="1" applyFont="1" applyBorder="1" applyAlignment="1" applyProtection="1">
      <alignment horizontal="center"/>
      <protection/>
    </xf>
    <xf numFmtId="4" fontId="51" fillId="0" borderId="13" xfId="0"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0" fontId="51" fillId="0" borderId="12" xfId="0" applyNumberFormat="1" applyFont="1" applyBorder="1" applyAlignment="1" applyProtection="1">
      <alignment horizontal="center"/>
      <protection/>
    </xf>
    <xf numFmtId="164" fontId="51" fillId="0" borderId="12" xfId="44" applyNumberFormat="1" applyFont="1" applyBorder="1" applyAlignment="1" applyProtection="1">
      <alignment horizontal="center"/>
      <protection/>
    </xf>
    <xf numFmtId="2" fontId="51" fillId="0" borderId="12" xfId="44" applyNumberFormat="1" applyFont="1" applyBorder="1" applyAlignment="1" applyProtection="1">
      <alignment horizontal="center"/>
      <protection/>
    </xf>
    <xf numFmtId="0" fontId="51" fillId="0" borderId="0" xfId="0" applyFont="1" applyBorder="1" applyAlignment="1" applyProtection="1">
      <alignment/>
      <protection/>
    </xf>
    <xf numFmtId="0" fontId="51" fillId="0" borderId="16" xfId="0" applyFont="1" applyBorder="1" applyAlignment="1" applyProtection="1">
      <alignment/>
      <protection/>
    </xf>
    <xf numFmtId="0" fontId="51" fillId="0" borderId="15" xfId="0" applyFont="1" applyBorder="1" applyAlignment="1" applyProtection="1">
      <alignment horizontal="left" indent="2"/>
      <protection/>
    </xf>
    <xf numFmtId="0" fontId="49" fillId="0" borderId="15" xfId="0" applyFont="1" applyFill="1" applyBorder="1" applyAlignment="1" applyProtection="1">
      <alignment/>
      <protection/>
    </xf>
    <xf numFmtId="164" fontId="49" fillId="0" borderId="12" xfId="0" applyNumberFormat="1" applyFont="1" applyBorder="1" applyAlignment="1" applyProtection="1">
      <alignment horizontal="center"/>
      <protection/>
    </xf>
    <xf numFmtId="0" fontId="51" fillId="0" borderId="15" xfId="0" applyFont="1" applyFill="1" applyBorder="1" applyAlignment="1" applyProtection="1">
      <alignment/>
      <protection/>
    </xf>
    <xf numFmtId="0" fontId="51" fillId="0" borderId="12" xfId="0" applyNumberFormat="1" applyFont="1" applyFill="1" applyBorder="1" applyAlignment="1" applyProtection="1">
      <alignment horizontal="center"/>
      <protection/>
    </xf>
    <xf numFmtId="0" fontId="51" fillId="0" borderId="12" xfId="0" applyFont="1" applyFill="1" applyBorder="1" applyAlignment="1" applyProtection="1">
      <alignment horizontal="center"/>
      <protection/>
    </xf>
    <xf numFmtId="2" fontId="51" fillId="0" borderId="12" xfId="0" applyNumberFormat="1" applyFont="1" applyFill="1" applyBorder="1" applyAlignment="1" applyProtection="1">
      <alignment horizontal="center"/>
      <protection/>
    </xf>
    <xf numFmtId="0" fontId="51" fillId="0" borderId="15" xfId="0" applyFont="1" applyFill="1" applyBorder="1" applyAlignment="1" applyProtection="1">
      <alignment horizontal="left" indent="2"/>
      <protection/>
    </xf>
    <xf numFmtId="0" fontId="51" fillId="0" borderId="12" xfId="44" applyNumberFormat="1" applyFont="1" applyBorder="1" applyAlignment="1" applyProtection="1">
      <alignment horizontal="center"/>
      <protection/>
    </xf>
    <xf numFmtId="164" fontId="51" fillId="0" borderId="12" xfId="0" applyNumberFormat="1" applyFont="1" applyBorder="1" applyAlignment="1" applyProtection="1">
      <alignment horizontal="center"/>
      <protection/>
    </xf>
    <xf numFmtId="4" fontId="51" fillId="0" borderId="12" xfId="44" applyNumberFormat="1" applyFont="1" applyBorder="1" applyAlignment="1" applyProtection="1">
      <alignment horizontal="center"/>
      <protection/>
    </xf>
    <xf numFmtId="0" fontId="52" fillId="35" borderId="15" xfId="0" applyFont="1" applyFill="1" applyBorder="1" applyAlignment="1" applyProtection="1">
      <alignment horizontal="left"/>
      <protection/>
    </xf>
    <xf numFmtId="0" fontId="52" fillId="35" borderId="12" xfId="0" applyFont="1" applyFill="1" applyBorder="1" applyAlignment="1" applyProtection="1">
      <alignment horizontal="right"/>
      <protection/>
    </xf>
    <xf numFmtId="4" fontId="49" fillId="35" borderId="12" xfId="44" applyNumberFormat="1" applyFont="1" applyFill="1" applyBorder="1" applyAlignment="1" applyProtection="1">
      <alignment horizontal="center"/>
      <protection/>
    </xf>
    <xf numFmtId="4" fontId="49" fillId="35" borderId="13" xfId="0" applyNumberFormat="1" applyFont="1" applyFill="1" applyBorder="1" applyAlignment="1" applyProtection="1">
      <alignment horizontal="center"/>
      <protection/>
    </xf>
    <xf numFmtId="0" fontId="52" fillId="35" borderId="20"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7"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6" xfId="0" applyNumberFormat="1" applyFont="1" applyBorder="1" applyAlignment="1" applyProtection="1">
      <alignment horizontal="center"/>
      <protection/>
    </xf>
    <xf numFmtId="0" fontId="51" fillId="0" borderId="12" xfId="0" applyFont="1" applyBorder="1" applyAlignment="1" applyProtection="1">
      <alignment horizontal="left" indent="2"/>
      <protection/>
    </xf>
    <xf numFmtId="164" fontId="51" fillId="0" borderId="12" xfId="0" applyNumberFormat="1" applyFont="1" applyBorder="1" applyAlignment="1" applyProtection="1">
      <alignment/>
      <protection/>
    </xf>
    <xf numFmtId="0" fontId="51" fillId="0" borderId="12"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7"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2" xfId="0" applyFont="1" applyFill="1" applyBorder="1" applyAlignment="1" applyProtection="1">
      <alignment horizontal="right" vertical="center"/>
      <protection/>
    </xf>
    <xf numFmtId="0" fontId="54" fillId="0" borderId="20"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7"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2" xfId="0" applyFont="1" applyBorder="1" applyAlignment="1" applyProtection="1">
      <alignment/>
      <protection/>
    </xf>
    <xf numFmtId="164" fontId="51" fillId="0" borderId="13"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2"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3"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3" xfId="0" applyNumberFormat="1" applyFont="1" applyFill="1" applyBorder="1" applyAlignment="1" applyProtection="1">
      <alignment/>
      <protection locked="0"/>
    </xf>
    <xf numFmtId="165" fontId="47" fillId="35" borderId="12"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left" vertical="center"/>
      <protection/>
    </xf>
    <xf numFmtId="0" fontId="47" fillId="34" borderId="57" xfId="0" applyFont="1" applyFill="1" applyBorder="1" applyAlignment="1" applyProtection="1">
      <alignment horizontal="left"/>
      <protection/>
    </xf>
    <xf numFmtId="0" fontId="47" fillId="34" borderId="57" xfId="0" applyFont="1" applyFill="1" applyBorder="1" applyAlignment="1" applyProtection="1">
      <alignment horizontal="center" vertical="center"/>
      <protection/>
    </xf>
    <xf numFmtId="0" fontId="47" fillId="34" borderId="74" xfId="0" applyFont="1" applyFill="1" applyBorder="1" applyAlignment="1" applyProtection="1">
      <alignment horizontal="left"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left"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7"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2" xfId="0" applyFont="1" applyFill="1" applyBorder="1" applyAlignment="1" applyProtection="1">
      <alignment/>
      <protection/>
    </xf>
    <xf numFmtId="0" fontId="0" fillId="34" borderId="76"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7" fillId="36" borderId="21" xfId="0" applyFont="1" applyFill="1" applyBorder="1" applyAlignment="1" applyProtection="1">
      <alignment/>
      <protection/>
    </xf>
    <xf numFmtId="0" fontId="47" fillId="36" borderId="15" xfId="0" applyFont="1" applyFill="1" applyBorder="1" applyAlignment="1" applyProtection="1">
      <alignment/>
      <protection/>
    </xf>
    <xf numFmtId="0" fontId="47" fillId="36" borderId="20"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7"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7" fillId="36" borderId="15" xfId="0" applyFont="1" applyFill="1" applyBorder="1" applyAlignment="1" applyProtection="1">
      <alignment horizontal="center" wrapText="1"/>
      <protection/>
    </xf>
    <xf numFmtId="0" fontId="47" fillId="36" borderId="20"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7"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6"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55" fillId="36" borderId="17"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6"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6515100</xdr:colOff>
      <xdr:row>57</xdr:row>
      <xdr:rowOff>133350</xdr:rowOff>
    </xdr:from>
    <xdr:to>
      <xdr:col>2</xdr:col>
      <xdr:colOff>190500</xdr:colOff>
      <xdr:row>60</xdr:row>
      <xdr:rowOff>142875</xdr:rowOff>
    </xdr:to>
    <xdr:pic>
      <xdr:nvPicPr>
        <xdr:cNvPr id="1" name="Picture 2"/>
        <xdr:cNvPicPr preferRelativeResize="1">
          <a:picLocks noChangeAspect="1"/>
        </xdr:cNvPicPr>
      </xdr:nvPicPr>
      <xdr:blipFill>
        <a:blip r:embed="rId1"/>
        <a:stretch>
          <a:fillRect/>
        </a:stretch>
      </xdr:blipFill>
      <xdr:spPr>
        <a:xfrm>
          <a:off x="6515100" y="11953875"/>
          <a:ext cx="1533525" cy="581025"/>
        </a:xfrm>
        <a:prstGeom prst="rect">
          <a:avLst/>
        </a:prstGeom>
        <a:noFill/>
        <a:ln w="9525" cmpd="sng">
          <a:noFill/>
        </a:ln>
      </xdr:spPr>
    </xdr:pic>
    <xdr:clientData/>
  </xdr:twoCellAnchor>
  <xdr:twoCellAnchor editAs="oneCell">
    <xdr:from>
      <xdr:col>0</xdr:col>
      <xdr:colOff>19050</xdr:colOff>
      <xdr:row>16</xdr:row>
      <xdr:rowOff>171450</xdr:rowOff>
    </xdr:from>
    <xdr:to>
      <xdr:col>1</xdr:col>
      <xdr:colOff>123825</xdr:colOff>
      <xdr:row>52</xdr:row>
      <xdr:rowOff>38100</xdr:rowOff>
    </xdr:to>
    <xdr:pic>
      <xdr:nvPicPr>
        <xdr:cNvPr id="2" name="Picture 3"/>
        <xdr:cNvPicPr preferRelativeResize="1">
          <a:picLocks noChangeAspect="1"/>
        </xdr:cNvPicPr>
      </xdr:nvPicPr>
      <xdr:blipFill>
        <a:blip r:embed="rId2"/>
        <a:stretch>
          <a:fillRect/>
        </a:stretch>
      </xdr:blipFill>
      <xdr:spPr>
        <a:xfrm>
          <a:off x="19050" y="3219450"/>
          <a:ext cx="7353300" cy="6724650"/>
        </a:xfrm>
        <a:prstGeom prst="rect">
          <a:avLst/>
        </a:prstGeom>
        <a:noFill/>
        <a:ln w="9525" cmpd="sng">
          <a:noFill/>
        </a:ln>
      </xdr:spPr>
    </xdr:pic>
    <xdr:clientData/>
  </xdr:twoCellAnchor>
  <xdr:twoCellAnchor>
    <xdr:from>
      <xdr:col>0</xdr:col>
      <xdr:colOff>0</xdr:colOff>
      <xdr:row>0</xdr:row>
      <xdr:rowOff>0</xdr:rowOff>
    </xdr:from>
    <xdr:to>
      <xdr:col>0</xdr:col>
      <xdr:colOff>7239000</xdr:colOff>
      <xdr:row>15</xdr:row>
      <xdr:rowOff>104775</xdr:rowOff>
    </xdr:to>
    <xdr:grpSp>
      <xdr:nvGrpSpPr>
        <xdr:cNvPr id="3" name="Group 4"/>
        <xdr:cNvGrpSpPr>
          <a:grpSpLocks/>
        </xdr:cNvGrpSpPr>
      </xdr:nvGrpSpPr>
      <xdr:grpSpPr>
        <a:xfrm>
          <a:off x="0" y="0"/>
          <a:ext cx="7239000" cy="2962275"/>
          <a:chOff x="0" y="0"/>
          <a:chExt cx="6333525" cy="2339474"/>
        </a:xfrm>
        <a:solidFill>
          <a:srgbClr val="FFFFFF"/>
        </a:solidFill>
      </xdr:grpSpPr>
      <xdr:grpSp>
        <xdr:nvGrpSpPr>
          <xdr:cNvPr id="4" name="Group 5"/>
          <xdr:cNvGrpSpPr>
            <a:grpSpLocks/>
          </xdr:cNvGrpSpPr>
        </xdr:nvGrpSpPr>
        <xdr:grpSpPr>
          <a:xfrm>
            <a:off x="41168" y="8188"/>
            <a:ext cx="6292357" cy="2331286"/>
            <a:chOff x="16778" y="0"/>
            <a:chExt cx="6291728" cy="2331697"/>
          </a:xfrm>
          <a:solidFill>
            <a:srgbClr val="FFFFFF"/>
          </a:solidFill>
        </xdr:grpSpPr>
        <xdr:sp>
          <xdr:nvSpPr>
            <xdr:cNvPr id="5" name="Rectangle 7"/>
            <xdr:cNvSpPr>
              <a:spLocks/>
            </xdr:cNvSpPr>
          </xdr:nvSpPr>
          <xdr:spPr>
            <a:xfrm>
              <a:off x="16778" y="0"/>
              <a:ext cx="6275999" cy="1188583"/>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8"/>
            <xdr:cNvSpPr>
              <a:spLocks/>
            </xdr:cNvSpPr>
          </xdr:nvSpPr>
          <xdr:spPr>
            <a:xfrm>
              <a:off x="16778" y="1188000"/>
              <a:ext cx="6283863" cy="1143697"/>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1809" y="0"/>
              <a:ext cx="4166697" cy="1196161"/>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Radish</a:t>
              </a:r>
            </a:p>
          </xdr:txBody>
        </xdr:sp>
        <xdr:sp>
          <xdr:nvSpPr>
            <xdr:cNvPr id="8" name="Text Box 2"/>
            <xdr:cNvSpPr txBox="1">
              <a:spLocks noChangeArrowheads="1"/>
            </xdr:cNvSpPr>
          </xdr:nvSpPr>
          <xdr:spPr>
            <a:xfrm>
              <a:off x="2583803" y="1188000"/>
              <a:ext cx="3716838" cy="1143697"/>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1"/>
            <xdr:cNvGrpSpPr>
              <a:grpSpLocks/>
            </xdr:cNvGrpSpPr>
          </xdr:nvGrpSpPr>
          <xdr:grpSpPr>
            <a:xfrm>
              <a:off x="67112" y="1266694"/>
              <a:ext cx="2524556" cy="1021866"/>
              <a:chOff x="0" y="0"/>
              <a:chExt cx="2524125" cy="1021715"/>
            </a:xfrm>
            <a:solidFill>
              <a:srgbClr val="FFFFFF"/>
            </a:solidFill>
          </xdr:grpSpPr>
          <xdr:sp>
            <xdr:nvSpPr>
              <xdr:cNvPr id="10" name="Text Box 5"/>
              <xdr:cNvSpPr txBox="1">
                <a:spLocks noChangeArrowheads="1"/>
              </xdr:cNvSpPr>
            </xdr:nvSpPr>
            <xdr:spPr>
              <a:xfrm>
                <a:off x="0" y="598470"/>
                <a:ext cx="2316516" cy="421457"/>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3" descr="kpu-Institute-Sustainable-Food-Systems_SPOT"/>
              <xdr:cNvPicPr preferRelativeResize="1">
                <a:picLocks noChangeAspect="1"/>
              </xdr:cNvPicPr>
            </xdr:nvPicPr>
            <xdr:blipFill>
              <a:blip r:embed="rId3"/>
              <a:stretch>
                <a:fillRect/>
              </a:stretch>
            </xdr:blipFill>
            <xdr:spPr>
              <a:xfrm>
                <a:off x="0" y="0"/>
                <a:ext cx="2524125" cy="647767"/>
              </a:xfrm>
              <a:prstGeom prst="rect">
                <a:avLst/>
              </a:prstGeom>
              <a:noFill/>
              <a:ln w="9525" cmpd="sng">
                <a:noFill/>
              </a:ln>
            </xdr:spPr>
          </xdr:pic>
          <xdr:sp>
            <xdr:nvSpPr>
              <xdr:cNvPr id="12" name="Rectangle 14"/>
              <xdr:cNvSpPr>
                <a:spLocks/>
              </xdr:cNvSpPr>
            </xdr:nvSpPr>
            <xdr:spPr>
              <a:xfrm>
                <a:off x="690979" y="304982"/>
                <a:ext cx="1833146" cy="323628"/>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6"/>
          <xdr:cNvPicPr preferRelativeResize="1">
            <a:picLocks noChangeAspect="1"/>
          </xdr:cNvPicPr>
        </xdr:nvPicPr>
        <xdr:blipFill>
          <a:blip r:embed="rId4"/>
          <a:stretch>
            <a:fillRect/>
          </a:stretch>
        </xdr:blipFill>
        <xdr:spPr>
          <a:xfrm>
            <a:off x="0" y="0"/>
            <a:ext cx="1835139" cy="122296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4:A60"/>
  <sheetViews>
    <sheetView showGridLines="0" tabSelected="1" zoomScalePageLayoutView="0" workbookViewId="0" topLeftCell="A34">
      <selection activeCell="A58" sqref="A58"/>
    </sheetView>
  </sheetViews>
  <sheetFormatPr defaultColWidth="9.140625" defaultRowHeight="15"/>
  <cols>
    <col min="1" max="1" width="108.7109375" style="0" customWidth="1"/>
  </cols>
  <sheetData>
    <row r="54" ht="15.75">
      <c r="A54" s="476" t="s">
        <v>238</v>
      </c>
    </row>
    <row r="55" ht="90">
      <c r="A55" s="477" t="s">
        <v>246</v>
      </c>
    </row>
    <row r="59" ht="15">
      <c r="A59" t="s">
        <v>239</v>
      </c>
    </row>
    <row r="60" ht="15">
      <c r="A60" t="s">
        <v>240</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85">
      <selection activeCell="G23" sqref="G23"/>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8" t="str">
        <f>'Fixed Costs &amp; Overhead Charges'!B2:O2</f>
        <v>Radish Enterprise Budget, 0.05 Acre, Southwest British Columbia, Canada </v>
      </c>
      <c r="C2" s="479"/>
      <c r="D2" s="479"/>
      <c r="E2" s="479"/>
      <c r="F2" s="479"/>
      <c r="G2" s="480"/>
    </row>
    <row r="3" spans="2:7" ht="96.75" customHeight="1" thickBot="1">
      <c r="B3" s="481" t="s">
        <v>192</v>
      </c>
      <c r="C3" s="482"/>
      <c r="D3" s="482"/>
      <c r="E3" s="482"/>
      <c r="F3" s="482"/>
      <c r="G3" s="483"/>
    </row>
    <row r="4" spans="2:7" ht="15.75">
      <c r="B4" s="166" t="str">
        <f>'Fixed Costs &amp; Overhead Charges'!B5</f>
        <v>Crop</v>
      </c>
      <c r="C4" s="167" t="str">
        <f>'Fixed Costs &amp; Overhead Charges'!C5</f>
        <v>Radish</v>
      </c>
      <c r="D4" s="167"/>
      <c r="E4" s="168"/>
      <c r="F4" s="168"/>
      <c r="G4" s="169"/>
    </row>
    <row r="5" spans="2:7" ht="15.75">
      <c r="B5" s="166" t="str">
        <f>'Fixed Costs &amp; Overhead Charges'!B8</f>
        <v>Radish cultivated area</v>
      </c>
      <c r="C5" s="167">
        <f>'Fixed Costs &amp; Overhead Charges'!C8</f>
        <v>0.05</v>
      </c>
      <c r="D5" s="167" t="str">
        <f>'Fixed Costs &amp; Overhead Charges'!D8</f>
        <v>Acre</v>
      </c>
      <c r="E5" s="168"/>
      <c r="F5" s="168"/>
      <c r="G5" s="169"/>
    </row>
    <row r="6" spans="2:7" ht="15.75">
      <c r="B6" s="166" t="str">
        <f>'Fixed Costs &amp; Overhead Charges'!B9</f>
        <v>Crop area (square feet)</v>
      </c>
      <c r="C6" s="170">
        <f>'Fixed Costs &amp; Overhead Charges'!C9</f>
        <v>2178</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5</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2</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0.05 Acre</v>
      </c>
      <c r="D14" s="187" t="s">
        <v>12</v>
      </c>
      <c r="E14" s="188" t="s">
        <v>180</v>
      </c>
      <c r="F14" s="186" t="str">
        <f>"$ per "&amp;$C$5&amp;" "&amp;$D$5</f>
        <v>$ per 0.05 Acre</v>
      </c>
      <c r="G14" s="189" t="s">
        <v>179</v>
      </c>
    </row>
    <row r="15" spans="2:7" ht="16.5" thickBot="1">
      <c r="B15" s="190" t="str">
        <f>'Fixed Costs &amp; Overhead Charges'!C5</f>
        <v>Radish</v>
      </c>
      <c r="C15" s="191">
        <v>1600</v>
      </c>
      <c r="D15" s="191" t="str">
        <f>Revenue!D7</f>
        <v>bunches</v>
      </c>
      <c r="E15" s="192">
        <f>Revenue!E7</f>
        <v>3</v>
      </c>
      <c r="F15" s="192">
        <f>C15*E15</f>
        <v>4800</v>
      </c>
      <c r="G15" s="193">
        <f>F15/C8</f>
        <v>960</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0.05 Acre</v>
      </c>
      <c r="D19" s="204" t="s">
        <v>12</v>
      </c>
      <c r="E19" s="205" t="s">
        <v>86</v>
      </c>
      <c r="F19" s="203" t="str">
        <f>"$ per "&amp;$C$5&amp;" "&amp;$D$5</f>
        <v>$ per 0.05 Acre</v>
      </c>
      <c r="G19" s="206" t="s">
        <v>179</v>
      </c>
    </row>
    <row r="20" spans="2:8" ht="15.75">
      <c r="B20" s="207" t="s">
        <v>19</v>
      </c>
      <c r="C20" s="208"/>
      <c r="D20" s="209"/>
      <c r="E20" s="210"/>
      <c r="F20" s="210"/>
      <c r="G20" s="211"/>
      <c r="H20" s="2"/>
    </row>
    <row r="21" spans="2:7" ht="15.75">
      <c r="B21" s="212" t="str">
        <f>'VC-Material Cost'!B9</f>
        <v>Seed</v>
      </c>
      <c r="C21" s="213">
        <f>'VC-Material Cost'!C9</f>
        <v>56</v>
      </c>
      <c r="D21" s="214" t="str">
        <f>'VC-Material Cost'!D9</f>
        <v>1000 seeds</v>
      </c>
      <c r="E21" s="213">
        <f>'VC-Material Cost'!E9</f>
        <v>1.8</v>
      </c>
      <c r="F21" s="215">
        <f>C21*E21</f>
        <v>100.8</v>
      </c>
      <c r="G21" s="216">
        <f>IF($C$8&gt;0,F21/$C$8,0)</f>
        <v>20.16</v>
      </c>
    </row>
    <row r="22" spans="2:7" ht="15.75">
      <c r="B22" s="212">
        <f>'VC-Material Cost'!B10</f>
        <v>0</v>
      </c>
      <c r="C22" s="213">
        <f>'VC-Material Cost'!C10</f>
        <v>0</v>
      </c>
      <c r="D22" s="214">
        <f>'VC-Material Cost'!D10</f>
        <v>0</v>
      </c>
      <c r="E22" s="213">
        <f>'VC-Material Cost'!E10</f>
        <v>0</v>
      </c>
      <c r="F22" s="215">
        <f>C22*E22</f>
        <v>0</v>
      </c>
      <c r="G22" s="216">
        <f>IF($C$8&gt;0,F22/$C$8,0)</f>
        <v>0</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400</v>
      </c>
      <c r="D26" s="214" t="str">
        <f>'VC-Material Cost'!D15</f>
        <v>pounds</v>
      </c>
      <c r="E26" s="213">
        <f>'VC-Material Cost'!E15</f>
        <v>0.1</v>
      </c>
      <c r="F26" s="215">
        <f aca="true" t="shared" si="0" ref="F26:F33">C26*E26</f>
        <v>40</v>
      </c>
      <c r="G26" s="216">
        <f aca="true" t="shared" si="1" ref="G26:G33">IF($C$8&gt;0,F26/$C$8,0)</f>
        <v>8</v>
      </c>
    </row>
    <row r="27" spans="2:7" ht="15.75">
      <c r="B27" s="212" t="str">
        <f>'VC-Material Cost'!B16</f>
        <v>Lime</v>
      </c>
      <c r="C27" s="213">
        <f>'VC-Material Cost'!C16</f>
        <v>100</v>
      </c>
      <c r="D27" s="214" t="str">
        <f>'VC-Material Cost'!D16</f>
        <v>pounds</v>
      </c>
      <c r="E27" s="213">
        <f>'VC-Material Cost'!E16</f>
        <v>0.3</v>
      </c>
      <c r="F27" s="215">
        <f t="shared" si="0"/>
        <v>30</v>
      </c>
      <c r="G27" s="216">
        <f t="shared" si="1"/>
        <v>6</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t="str">
        <f>'VC-Material Cost'!B25</f>
        <v>Row cover</v>
      </c>
      <c r="C35" s="213">
        <f>'VC-Material Cost'!C25</f>
        <v>1</v>
      </c>
      <c r="D35" s="214">
        <f>'VC-Material Cost'!D25</f>
        <v>0</v>
      </c>
      <c r="E35" s="213">
        <f>'VC-Material Cost'!E25</f>
        <v>180</v>
      </c>
      <c r="F35" s="215">
        <f aca="true" t="shared" si="2" ref="F35:F42">C35*E35</f>
        <v>180</v>
      </c>
      <c r="G35" s="216">
        <f aca="true" t="shared" si="3" ref="G35:G42">IF($C$8&gt;0,F35/$C$8,0)</f>
        <v>36</v>
      </c>
    </row>
    <row r="36" spans="2:7" ht="15.75">
      <c r="B36" s="212" t="str">
        <f>'VC-Material Cost'!B26</f>
        <v>Rubber bands</v>
      </c>
      <c r="C36" s="213">
        <f>'VC-Material Cost'!C26</f>
        <v>1</v>
      </c>
      <c r="D36" s="214">
        <f>'VC-Material Cost'!D26</f>
        <v>0</v>
      </c>
      <c r="E36" s="213">
        <f>'VC-Material Cost'!E26</f>
        <v>10</v>
      </c>
      <c r="F36" s="215">
        <f t="shared" si="2"/>
        <v>10</v>
      </c>
      <c r="G36" s="216">
        <f t="shared" si="3"/>
        <v>2</v>
      </c>
    </row>
    <row r="37" spans="2:7" ht="15.75">
      <c r="B37" s="212">
        <f>'VC-Material Cost'!B27</f>
        <v>0</v>
      </c>
      <c r="C37" s="213">
        <f>'VC-Material Cost'!C27</f>
        <v>0</v>
      </c>
      <c r="D37" s="214">
        <f>'VC-Material Cost'!D27</f>
        <v>0</v>
      </c>
      <c r="E37" s="213">
        <f>'VC-Material Cost'!E27</f>
        <v>0</v>
      </c>
      <c r="F37" s="215">
        <f t="shared" si="2"/>
        <v>0</v>
      </c>
      <c r="G37" s="216">
        <f t="shared" si="3"/>
        <v>0</v>
      </c>
    </row>
    <row r="38" spans="2:7" ht="15.75">
      <c r="B38" s="212">
        <f>'VC-Material Cost'!B28</f>
        <v>0</v>
      </c>
      <c r="C38" s="213">
        <f>'VC-Material Cost'!C28</f>
        <v>0</v>
      </c>
      <c r="D38" s="214">
        <f>'VC-Material Cost'!D28</f>
        <v>0</v>
      </c>
      <c r="E38" s="213">
        <f>'VC-Material Cost'!E28</f>
        <v>0</v>
      </c>
      <c r="F38" s="215">
        <f t="shared" si="2"/>
        <v>0</v>
      </c>
      <c r="G38" s="216">
        <f t="shared" si="3"/>
        <v>0</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12</v>
      </c>
      <c r="G44" s="216">
        <f>IF($C$8&gt;0,F44/$C$8,0)</f>
        <v>2.4</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manure)</v>
      </c>
      <c r="C48" s="220"/>
      <c r="D48" s="214"/>
      <c r="E48" s="213"/>
      <c r="F48" s="215"/>
      <c r="G48" s="216"/>
    </row>
    <row r="49" spans="2:7" ht="15.75">
      <c r="B49" s="225" t="s">
        <v>79</v>
      </c>
      <c r="C49" s="220">
        <f>'VC-Operational Activities'!C11</f>
        <v>2.5</v>
      </c>
      <c r="D49" s="214" t="s">
        <v>78</v>
      </c>
      <c r="E49" s="213">
        <f>'VC-Operational Activities'!F11</f>
        <v>12</v>
      </c>
      <c r="F49" s="215">
        <f>C49*E49</f>
        <v>30</v>
      </c>
      <c r="G49" s="216">
        <f>IF($C$8&gt;0,F49/$C$8,0)</f>
        <v>6</v>
      </c>
    </row>
    <row r="50" spans="2:7" ht="15.75">
      <c r="B50" s="225" t="s">
        <v>77</v>
      </c>
      <c r="C50" s="220">
        <f>'VC-Operational Activities'!D11</f>
        <v>2.5</v>
      </c>
      <c r="D50" s="214" t="s">
        <v>78</v>
      </c>
      <c r="E50" s="213">
        <f>'VC-Operational Activities'!G11</f>
        <v>15</v>
      </c>
      <c r="F50" s="215">
        <f>C50*E50</f>
        <v>37.5</v>
      </c>
      <c r="G50" s="216">
        <f>IF($C$8&gt;0,F50/$C$8,0)</f>
        <v>7.5</v>
      </c>
    </row>
    <row r="51" spans="2:7" ht="15.75">
      <c r="B51" s="212" t="str">
        <f>'VC-Operational Activities'!B12</f>
        <v>Prepare for planting (form beds, lay row cover, irrigation set-up, etc)</v>
      </c>
      <c r="C51" s="220"/>
      <c r="D51" s="214"/>
      <c r="E51" s="213"/>
      <c r="F51" s="215"/>
      <c r="G51" s="216"/>
    </row>
    <row r="52" spans="2:7" ht="15.75">
      <c r="B52" s="225" t="s">
        <v>79</v>
      </c>
      <c r="C52" s="220">
        <f>'VC-Operational Activities'!C12</f>
        <v>2</v>
      </c>
      <c r="D52" s="214" t="s">
        <v>78</v>
      </c>
      <c r="E52" s="213">
        <f>'VC-Operational Activities'!F12</f>
        <v>12</v>
      </c>
      <c r="F52" s="215">
        <f>C52*E52</f>
        <v>24</v>
      </c>
      <c r="G52" s="216">
        <f>IF($C$8&gt;0,F52/$C$8,0)</f>
        <v>4.8</v>
      </c>
    </row>
    <row r="53" spans="2:7" ht="15.75">
      <c r="B53" s="225" t="s">
        <v>77</v>
      </c>
      <c r="C53" s="220">
        <f>'VC-Operational Activities'!D12</f>
        <v>1</v>
      </c>
      <c r="D53" s="214" t="s">
        <v>78</v>
      </c>
      <c r="E53" s="213">
        <f>'VC-Operational Activities'!G12</f>
        <v>15</v>
      </c>
      <c r="F53" s="215">
        <f>C53*E53</f>
        <v>15</v>
      </c>
      <c r="G53" s="216">
        <f>IF($C$8&gt;0,F53/$C$8,0)</f>
        <v>3</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2</v>
      </c>
      <c r="D56" s="230" t="s">
        <v>78</v>
      </c>
      <c r="E56" s="231">
        <f>'VC-Operational Activities'!F15</f>
        <v>12</v>
      </c>
      <c r="F56" s="215">
        <f>C56*E56</f>
        <v>24</v>
      </c>
      <c r="G56" s="216">
        <f>IF($C$8&gt;0,F56/$C$8,0)</f>
        <v>4.8</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0</v>
      </c>
      <c r="D59" s="230" t="s">
        <v>78</v>
      </c>
      <c r="E59" s="231">
        <f>'VC-Operational Activities'!F16</f>
        <v>0</v>
      </c>
      <c r="F59" s="215">
        <f>C59*E59</f>
        <v>0</v>
      </c>
      <c r="G59" s="216">
        <f>IF($C$8&gt;0,F59/$C$8,0)</f>
        <v>0</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Weeding</v>
      </c>
      <c r="C62" s="233"/>
      <c r="D62" s="220"/>
      <c r="E62" s="222"/>
      <c r="F62" s="215"/>
      <c r="G62" s="216"/>
    </row>
    <row r="63" spans="2:7" ht="15.75">
      <c r="B63" s="225" t="s">
        <v>79</v>
      </c>
      <c r="C63" s="233">
        <f>'VC-Operational Activities'!C19</f>
        <v>12</v>
      </c>
      <c r="D63" s="220" t="s">
        <v>78</v>
      </c>
      <c r="E63" s="222">
        <f>'VC-Operational Activities'!F19</f>
        <v>12</v>
      </c>
      <c r="F63" s="215">
        <f>C63*E63</f>
        <v>144</v>
      </c>
      <c r="G63" s="216">
        <f>IF($C$8&gt;0,F63/$C$8,0)</f>
        <v>28.8</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1.2</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Pruning</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C</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72</v>
      </c>
      <c r="D101" s="230" t="s">
        <v>78</v>
      </c>
      <c r="E101" s="231">
        <f>'VC-Operational Activities'!F35</f>
        <v>12</v>
      </c>
      <c r="F101" s="215">
        <f>C101*E101</f>
        <v>864</v>
      </c>
      <c r="G101" s="216">
        <f>IF($C$8&gt;0,F101/$C$8,0)</f>
        <v>172.8</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36</v>
      </c>
      <c r="D104" s="230" t="s">
        <v>78</v>
      </c>
      <c r="E104" s="213">
        <f>'VC-Operational Activities'!F36</f>
        <v>12</v>
      </c>
      <c r="F104" s="215">
        <f>C104*E104</f>
        <v>432</v>
      </c>
      <c r="G104" s="216">
        <f>IF($C$8&gt;0,F104/$C$8,0)</f>
        <v>86.4</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200</v>
      </c>
      <c r="C119" s="220"/>
      <c r="D119" s="220"/>
      <c r="E119" s="213"/>
      <c r="F119" s="215">
        <f>'VC-Operational Activities'!K49</f>
        <v>0</v>
      </c>
      <c r="G119" s="216">
        <f t="shared" si="4"/>
        <v>0</v>
      </c>
    </row>
    <row r="120" spans="2:7" ht="15.75">
      <c r="B120" s="228" t="s">
        <v>169</v>
      </c>
      <c r="C120" s="220"/>
      <c r="D120" s="220"/>
      <c r="E120" s="213"/>
      <c r="F120" s="215">
        <f>'Fixed Costs &amp; Overhead Charges'!O94</f>
        <v>48.5</v>
      </c>
      <c r="G120" s="216">
        <f t="shared" si="4"/>
        <v>9.7</v>
      </c>
    </row>
    <row r="121" spans="2:7" ht="15.75">
      <c r="B121" s="228" t="s">
        <v>84</v>
      </c>
      <c r="C121" s="220"/>
      <c r="D121" s="220"/>
      <c r="E121" s="213"/>
      <c r="F121" s="215">
        <f>'VC-Operational Activities'!L50</f>
        <v>23.093583669065215</v>
      </c>
      <c r="G121" s="216">
        <f t="shared" si="4"/>
        <v>4.618716733813043</v>
      </c>
    </row>
    <row r="122" spans="2:7" ht="15.75">
      <c r="B122" s="212" t="s">
        <v>90</v>
      </c>
      <c r="C122" s="233"/>
      <c r="D122" s="233"/>
      <c r="E122" s="222"/>
      <c r="F122" s="235">
        <f>SUM(F20:F121)*(C10/12)*C9</f>
        <v>16.840779863908875</v>
      </c>
      <c r="G122" s="216">
        <f t="shared" si="4"/>
        <v>3.368155972781775</v>
      </c>
    </row>
    <row r="123" spans="2:7" ht="15.75">
      <c r="B123" s="212" t="s">
        <v>43</v>
      </c>
      <c r="C123" s="233"/>
      <c r="D123" s="233"/>
      <c r="E123" s="222"/>
      <c r="F123" s="235">
        <f>'VC-Marketing Fees'!L22</f>
        <v>657.9546665420386</v>
      </c>
      <c r="G123" s="216">
        <f t="shared" si="4"/>
        <v>131.59093330840773</v>
      </c>
    </row>
    <row r="124" spans="2:7" ht="15.75">
      <c r="B124" s="236" t="s">
        <v>105</v>
      </c>
      <c r="C124" s="237"/>
      <c r="D124" s="237"/>
      <c r="E124" s="237"/>
      <c r="F124" s="238">
        <f>SUM(F44:F117)</f>
        <v>1588.5</v>
      </c>
      <c r="G124" s="239">
        <f t="shared" si="4"/>
        <v>317.7</v>
      </c>
    </row>
    <row r="125" spans="2:7" ht="15.75">
      <c r="B125" s="236" t="s">
        <v>106</v>
      </c>
      <c r="C125" s="240"/>
      <c r="D125" s="240"/>
      <c r="E125" s="240"/>
      <c r="F125" s="238">
        <f>SUM(F21:F42)</f>
        <v>360.8</v>
      </c>
      <c r="G125" s="239">
        <f t="shared" si="4"/>
        <v>72.16</v>
      </c>
    </row>
    <row r="126" spans="2:7" ht="15.75">
      <c r="B126" s="236" t="s">
        <v>107</v>
      </c>
      <c r="C126" s="237"/>
      <c r="D126" s="237"/>
      <c r="E126" s="237"/>
      <c r="F126" s="238">
        <f>SUM(F119:F123)</f>
        <v>746.3890300750127</v>
      </c>
      <c r="G126" s="239">
        <f>IF($C$8&gt;0,F126/$C$8,0)</f>
        <v>149.27780601500254</v>
      </c>
    </row>
    <row r="127" spans="2:7" ht="16.5" thickBot="1">
      <c r="B127" s="241" t="s">
        <v>108</v>
      </c>
      <c r="C127" s="242"/>
      <c r="D127" s="242"/>
      <c r="E127" s="242"/>
      <c r="F127" s="243">
        <f>SUM(F124,F125,F126)</f>
        <v>2695.689030075013</v>
      </c>
      <c r="G127" s="244">
        <f>IF($C$8&gt;0,F127/$C$8,0)</f>
        <v>539.1378060150025</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31.5">
      <c r="B131" s="250" t="s">
        <v>55</v>
      </c>
      <c r="C131" s="251"/>
      <c r="D131" s="252"/>
      <c r="E131" s="253"/>
      <c r="F131" s="251" t="str">
        <f>"$ per "&amp;$C$5&amp;" "&amp;$D$5</f>
        <v>$ per 0.05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29.0625</v>
      </c>
      <c r="G133" s="216">
        <f aca="true" t="shared" si="5" ref="G133:G144">IF($C$8&gt;0,F133/$C$8,0)</f>
        <v>5.8125</v>
      </c>
    </row>
    <row r="134" spans="2:7" ht="15.75">
      <c r="B134" s="225" t="str">
        <f>'Fixed Costs &amp; Overhead Charges'!B24</f>
        <v>Rototiller </v>
      </c>
      <c r="C134" s="260"/>
      <c r="D134" s="220"/>
      <c r="E134" s="261"/>
      <c r="F134" s="215">
        <f>'Fixed Costs &amp; Overhead Charges'!O24</f>
        <v>7.604166666666666</v>
      </c>
      <c r="G134" s="216">
        <f t="shared" si="5"/>
        <v>1.5208333333333333</v>
      </c>
    </row>
    <row r="135" spans="2:7" ht="15.75">
      <c r="B135" s="225" t="str">
        <f>'Fixed Costs &amp; Overhead Charges'!B25</f>
        <v>Manure spreader </v>
      </c>
      <c r="C135" s="260"/>
      <c r="D135" s="220"/>
      <c r="E135" s="261"/>
      <c r="F135" s="215">
        <f>'Fixed Costs &amp; Overhead Charges'!O25</f>
        <v>15.625</v>
      </c>
      <c r="G135" s="216">
        <f t="shared" si="5"/>
        <v>3.125</v>
      </c>
    </row>
    <row r="136" spans="2:7" ht="15.75">
      <c r="B136" s="225" t="str">
        <f>'Fixed Costs &amp; Overhead Charges'!B26</f>
        <v>Pick-up truck</v>
      </c>
      <c r="C136" s="260"/>
      <c r="D136" s="220"/>
      <c r="E136" s="261"/>
      <c r="F136" s="215">
        <f>'Fixed Costs &amp; Overhead Charges'!O26</f>
        <v>80.20833333333334</v>
      </c>
      <c r="G136" s="216">
        <f t="shared" si="5"/>
        <v>16.041666666666668</v>
      </c>
    </row>
    <row r="137" spans="2:7" ht="15.75">
      <c r="B137" s="225" t="str">
        <f>'Fixed Costs &amp; Overhead Charges'!B27</f>
        <v>Trailor</v>
      </c>
      <c r="C137" s="260"/>
      <c r="D137" s="220"/>
      <c r="E137" s="261"/>
      <c r="F137" s="215">
        <f>'Fixed Costs &amp; Overhead Charges'!O27</f>
        <v>1.875</v>
      </c>
      <c r="G137" s="216">
        <f t="shared" si="5"/>
        <v>0.375</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14.2625</v>
      </c>
      <c r="G142" s="216">
        <f t="shared" si="5"/>
        <v>2.8525</v>
      </c>
    </row>
    <row r="143" spans="2:7" ht="15.75">
      <c r="B143" s="212" t="s">
        <v>24</v>
      </c>
      <c r="C143" s="220"/>
      <c r="D143" s="220"/>
      <c r="E143" s="261"/>
      <c r="F143" s="215">
        <f>'Fixed Costs &amp; Overhead Charges'!O65</f>
        <v>27.291666666666668</v>
      </c>
      <c r="G143" s="216">
        <f t="shared" si="5"/>
        <v>5.458333333333334</v>
      </c>
    </row>
    <row r="144" spans="2:7" ht="15.75">
      <c r="B144" s="228" t="s">
        <v>111</v>
      </c>
      <c r="C144" s="220"/>
      <c r="D144" s="220"/>
      <c r="E144" s="261"/>
      <c r="F144" s="215">
        <f>'Fixed Costs &amp; Overhead Charges'!O76</f>
        <v>15.4375</v>
      </c>
      <c r="G144" s="216">
        <f t="shared" si="5"/>
        <v>3.0875</v>
      </c>
    </row>
    <row r="145" spans="2:7" ht="15.75">
      <c r="B145" s="228" t="s">
        <v>201</v>
      </c>
      <c r="C145" s="220"/>
      <c r="D145" s="220"/>
      <c r="E145" s="261"/>
      <c r="F145" s="215"/>
      <c r="G145" s="216"/>
    </row>
    <row r="146" spans="2:7" ht="15.75">
      <c r="B146" s="232" t="str">
        <f>'Fixed Costs &amp; Overhead Charges'!B80</f>
        <v>Land rent</v>
      </c>
      <c r="C146" s="220"/>
      <c r="D146" s="220"/>
      <c r="E146" s="261"/>
      <c r="F146" s="215">
        <f>'Fixed Costs &amp; Overhead Charges'!O80</f>
        <v>21</v>
      </c>
      <c r="G146" s="216">
        <f aca="true" t="shared" si="6" ref="G146:G158">IF($C$8&gt;0,F146/$C$8,0)</f>
        <v>4.2</v>
      </c>
    </row>
    <row r="147" spans="2:7" ht="15.75">
      <c r="B147" s="232" t="str">
        <f>'Fixed Costs &amp; Overhead Charges'!B81</f>
        <v>Soil test</v>
      </c>
      <c r="C147" s="220"/>
      <c r="D147" s="220"/>
      <c r="E147" s="261"/>
      <c r="F147" s="215">
        <f>'Fixed Costs &amp; Overhead Charges'!O81</f>
        <v>2.625</v>
      </c>
      <c r="G147" s="216">
        <f t="shared" si="6"/>
        <v>0.525</v>
      </c>
    </row>
    <row r="148" spans="2:7" ht="15.75">
      <c r="B148" s="232" t="str">
        <f>'Fixed Costs &amp; Overhead Charges'!B82</f>
        <v>Farm liability insurance</v>
      </c>
      <c r="C148" s="220"/>
      <c r="D148" s="220"/>
      <c r="E148" s="261"/>
      <c r="F148" s="215">
        <f>'Fixed Costs &amp; Overhead Charges'!O82</f>
        <v>22.05</v>
      </c>
      <c r="G148" s="216">
        <f t="shared" si="6"/>
        <v>4.41</v>
      </c>
    </row>
    <row r="149" spans="2:7" ht="15.75">
      <c r="B149" s="232" t="str">
        <f>'Fixed Costs &amp; Overhead Charges'!B83</f>
        <v>Motor vehicle insurance</v>
      </c>
      <c r="C149" s="220"/>
      <c r="D149" s="220"/>
      <c r="E149" s="261"/>
      <c r="F149" s="215">
        <f>'Fixed Costs &amp; Overhead Charges'!O83</f>
        <v>54.6</v>
      </c>
      <c r="G149" s="216">
        <f t="shared" si="6"/>
        <v>10.92</v>
      </c>
    </row>
    <row r="150" spans="2:7" ht="15.75">
      <c r="B150" s="232" t="str">
        <f>'Fixed Costs &amp; Overhead Charges'!B84</f>
        <v>Office expenses</v>
      </c>
      <c r="C150" s="220"/>
      <c r="D150" s="220"/>
      <c r="E150" s="261"/>
      <c r="F150" s="215">
        <f>'Fixed Costs &amp; Overhead Charges'!O84</f>
        <v>13.125</v>
      </c>
      <c r="G150" s="216">
        <f t="shared" si="6"/>
        <v>2.625</v>
      </c>
    </row>
    <row r="151" spans="2:7" ht="15.75">
      <c r="B151" s="232" t="str">
        <f>'Fixed Costs &amp; Overhead Charges'!B85</f>
        <v>Electricity</v>
      </c>
      <c r="C151" s="220"/>
      <c r="D151" s="220"/>
      <c r="E151" s="261"/>
      <c r="F151" s="215">
        <f>'Fixed Costs &amp; Overhead Charges'!O85</f>
        <v>25.200000000000003</v>
      </c>
      <c r="G151" s="216">
        <f t="shared" si="6"/>
        <v>5.040000000000001</v>
      </c>
    </row>
    <row r="152" spans="2:7" ht="15.75">
      <c r="B152" s="232" t="str">
        <f>'Fixed Costs &amp; Overhead Charges'!B86</f>
        <v>Water</v>
      </c>
      <c r="C152" s="220"/>
      <c r="D152" s="220"/>
      <c r="E152" s="261"/>
      <c r="F152" s="215">
        <f>'Fixed Costs &amp; Overhead Charges'!O86</f>
        <v>26.25</v>
      </c>
      <c r="G152" s="216">
        <f t="shared" si="6"/>
        <v>5.25</v>
      </c>
    </row>
    <row r="153" spans="2:7" ht="15.75">
      <c r="B153" s="232" t="str">
        <f>'Fixed Costs &amp; Overhead Charges'!B87</f>
        <v>Telephone and internet</v>
      </c>
      <c r="C153" s="220"/>
      <c r="D153" s="220"/>
      <c r="E153" s="261"/>
      <c r="F153" s="215">
        <f>'Fixed Costs &amp; Overhead Charges'!O87</f>
        <v>13.125</v>
      </c>
      <c r="G153" s="216">
        <f t="shared" si="6"/>
        <v>2.625</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369.34166666666664</v>
      </c>
      <c r="G157" s="266">
        <f t="shared" si="6"/>
        <v>73.86833333333333</v>
      </c>
    </row>
    <row r="158" spans="2:7" ht="16.5" thickBot="1">
      <c r="B158" s="267" t="s">
        <v>236</v>
      </c>
      <c r="C158" s="268"/>
      <c r="D158" s="268"/>
      <c r="E158" s="268"/>
      <c r="F158" s="269">
        <f>SUM(F127,F157)</f>
        <v>3065.0306967416795</v>
      </c>
      <c r="G158" s="270">
        <f t="shared" si="6"/>
        <v>613.0061393483359</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32.25" thickBot="1">
      <c r="B163" s="276" t="s">
        <v>49</v>
      </c>
      <c r="C163" s="277"/>
      <c r="D163" s="278"/>
      <c r="E163" s="278"/>
      <c r="F163" s="279" t="str">
        <f>"$ per "&amp;$C$5&amp;" "&amp;$D$5</f>
        <v>$ per 0.05 Acre</v>
      </c>
      <c r="G163" s="280" t="s">
        <v>179</v>
      </c>
    </row>
    <row r="164" spans="2:7" ht="16.5" thickBot="1">
      <c r="B164" s="281" t="s">
        <v>191</v>
      </c>
      <c r="C164" s="282"/>
      <c r="D164" s="283"/>
      <c r="E164" s="282"/>
      <c r="F164" s="284">
        <f>F15-F127</f>
        <v>2104.310969924987</v>
      </c>
      <c r="G164" s="284">
        <f>G15-G127</f>
        <v>420.8621939849975</v>
      </c>
    </row>
    <row r="165" spans="2:7" ht="17.25" thickBot="1" thickTop="1">
      <c r="B165" s="286" t="s">
        <v>190</v>
      </c>
      <c r="C165" s="282"/>
      <c r="D165" s="282"/>
      <c r="E165" s="282"/>
      <c r="F165" s="284">
        <f>F15-F157</f>
        <v>4430.658333333334</v>
      </c>
      <c r="G165" s="285">
        <f>G15-G157</f>
        <v>886.1316666666667</v>
      </c>
    </row>
    <row r="166" spans="2:8" ht="17.25" thickBot="1" thickTop="1">
      <c r="B166" s="287" t="s">
        <v>237</v>
      </c>
      <c r="C166" s="288"/>
      <c r="D166" s="288"/>
      <c r="E166" s="288"/>
      <c r="F166" s="289">
        <f>F15-F158</f>
        <v>1734.9693032583205</v>
      </c>
      <c r="G166" s="290">
        <f>G15-G158</f>
        <v>346.99386065166414</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8">
      <selection activeCell="D8" sqref="D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8" t="str">
        <f>$C$5&amp;" Enterprise Budget, "&amp;$C$8&amp;" "&amp;$D$8&amp;", Southwest British Columbia, Canada "</f>
        <v>Radish Enterprise Budget, 0.05 Acre, Southwest British Columbia, Canada </v>
      </c>
      <c r="C2" s="479"/>
      <c r="D2" s="479"/>
      <c r="E2" s="479"/>
      <c r="F2" s="479"/>
      <c r="G2" s="479"/>
      <c r="H2" s="479"/>
      <c r="I2" s="479"/>
      <c r="J2" s="479"/>
      <c r="K2" s="479"/>
      <c r="L2" s="479"/>
      <c r="M2" s="479"/>
      <c r="N2" s="479"/>
      <c r="O2" s="480"/>
    </row>
    <row r="3" spans="2:15" s="5" customFormat="1" ht="19.5" thickBot="1">
      <c r="B3" s="478" t="s">
        <v>113</v>
      </c>
      <c r="C3" s="479"/>
      <c r="D3" s="479"/>
      <c r="E3" s="479"/>
      <c r="F3" s="479"/>
      <c r="G3" s="479"/>
      <c r="H3" s="479"/>
      <c r="I3" s="479"/>
      <c r="J3" s="479"/>
      <c r="K3" s="479"/>
      <c r="L3" s="479"/>
      <c r="M3" s="479"/>
      <c r="N3" s="479"/>
      <c r="O3" s="480"/>
    </row>
    <row r="4" spans="2:15" s="6" customFormat="1" ht="15.75" thickBot="1">
      <c r="B4" s="11"/>
      <c r="C4" s="11"/>
      <c r="D4" s="11"/>
      <c r="E4" s="11"/>
      <c r="F4" s="11"/>
      <c r="G4" s="11"/>
      <c r="H4" s="11"/>
      <c r="I4" s="11"/>
      <c r="J4" s="11"/>
      <c r="K4" s="11"/>
      <c r="L4" s="11"/>
      <c r="M4" s="11"/>
      <c r="N4" s="11"/>
      <c r="O4" s="11"/>
    </row>
    <row r="5" spans="2:15" s="5" customFormat="1" ht="15">
      <c r="B5" s="325" t="s">
        <v>52</v>
      </c>
      <c r="C5" s="86" t="s">
        <v>230</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206</v>
      </c>
      <c r="C7" s="87">
        <v>0.175</v>
      </c>
      <c r="D7" s="331" t="s">
        <v>173</v>
      </c>
      <c r="E7" s="11"/>
      <c r="F7" s="11"/>
      <c r="G7" s="11"/>
      <c r="H7" s="11"/>
      <c r="I7" s="11"/>
      <c r="J7" s="11"/>
      <c r="K7" s="11"/>
      <c r="L7" s="11"/>
      <c r="M7" s="11"/>
      <c r="N7" s="11"/>
      <c r="O7" s="11"/>
    </row>
    <row r="8" spans="2:15" s="5" customFormat="1" ht="15">
      <c r="B8" s="326" t="str">
        <f>(C5)&amp;" cultivated area"</f>
        <v>Radish cultivated area</v>
      </c>
      <c r="C8" s="87">
        <v>0.05</v>
      </c>
      <c r="D8" s="331" t="s">
        <v>173</v>
      </c>
      <c r="E8" s="11"/>
      <c r="F8" s="11"/>
      <c r="G8" s="11"/>
      <c r="H8" s="11"/>
      <c r="I8" s="11"/>
      <c r="J8" s="11"/>
      <c r="K8" s="11"/>
      <c r="L8" s="11"/>
      <c r="M8" s="11"/>
      <c r="N8" s="11"/>
      <c r="O8" s="11"/>
    </row>
    <row r="9" spans="2:15" s="5" customFormat="1" ht="15">
      <c r="B9" s="326" t="s">
        <v>141</v>
      </c>
      <c r="C9" s="150">
        <f>ROUND(C8*43560,0)</f>
        <v>2178</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5</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2</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241</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Radish cultivated area</v>
      </c>
      <c r="C18" s="124"/>
      <c r="D18" s="11"/>
      <c r="E18" s="11"/>
      <c r="F18" s="11"/>
      <c r="G18" s="11"/>
      <c r="H18" s="11"/>
      <c r="I18" s="11"/>
      <c r="J18" s="11"/>
      <c r="K18" s="11"/>
      <c r="L18" s="11"/>
      <c r="M18" s="11"/>
      <c r="N18" s="11"/>
      <c r="O18" s="11"/>
    </row>
    <row r="19" spans="2:15" s="5" customFormat="1" ht="15" hidden="1">
      <c r="B19" s="102" t="str">
        <f>"not used in "&amp;C5</f>
        <v>not used in Radish</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202</v>
      </c>
      <c r="I21" s="336" t="s">
        <v>199</v>
      </c>
      <c r="J21" s="334" t="s">
        <v>115</v>
      </c>
      <c r="K21" s="334" t="s">
        <v>144</v>
      </c>
      <c r="L21" s="334" t="s">
        <v>138</v>
      </c>
      <c r="M21" s="334" t="s">
        <v>121</v>
      </c>
      <c r="N21" s="337" t="s">
        <v>145</v>
      </c>
      <c r="O21" s="338" t="str">
        <f>$C$5&amp;" Annual Fixed Cost"</f>
        <v>Radish Annual Fixed Cost</v>
      </c>
    </row>
    <row r="22" spans="2:15" ht="15">
      <c r="B22" s="490" t="s">
        <v>31</v>
      </c>
      <c r="C22" s="491"/>
      <c r="D22" s="491"/>
      <c r="E22" s="491"/>
      <c r="F22" s="491"/>
      <c r="G22" s="491"/>
      <c r="H22" s="491"/>
      <c r="I22" s="491"/>
      <c r="J22" s="491"/>
      <c r="K22" s="491"/>
      <c r="L22" s="491"/>
      <c r="M22" s="491"/>
      <c r="N22" s="491"/>
      <c r="O22" s="492"/>
    </row>
    <row r="23" spans="2:15" ht="15">
      <c r="B23" s="135" t="s">
        <v>0</v>
      </c>
      <c r="C23" s="130" t="s">
        <v>207</v>
      </c>
      <c r="D23" s="91">
        <v>16000</v>
      </c>
      <c r="E23" s="91">
        <v>1500</v>
      </c>
      <c r="F23" s="92">
        <v>20</v>
      </c>
      <c r="G23" s="127" t="s">
        <v>143</v>
      </c>
      <c r="H23" s="128"/>
      <c r="I23" s="339">
        <f>IF(H23&gt;0,H23,IF(G23=$B$15,$C$8/$C$6,IF(G23=$B$16,$C$8/$C$6,IF(G23=$B$17,$C$8/$C$7,IF(G23=$B$18,$C$8/$C$8,0)))))</f>
        <v>0.025</v>
      </c>
      <c r="J23" s="91">
        <v>400</v>
      </c>
      <c r="K23" s="91">
        <v>0</v>
      </c>
      <c r="L23" s="93">
        <f aca="true" t="shared" si="0" ref="L23:L31">IF(AND(F23&gt;0,D23&gt;E23),(D23-E23)/F23,0)</f>
        <v>725</v>
      </c>
      <c r="M23" s="94">
        <f>$C$12*((D23+E23)/2)</f>
        <v>437.5</v>
      </c>
      <c r="N23" s="95">
        <f>L23+M23</f>
        <v>1162.5</v>
      </c>
      <c r="O23" s="16">
        <f aca="true" t="shared" si="1" ref="O23:O31">I23*N23</f>
        <v>29.0625</v>
      </c>
    </row>
    <row r="24" spans="2:15" ht="15">
      <c r="B24" s="135" t="s">
        <v>96</v>
      </c>
      <c r="C24" s="130" t="s">
        <v>97</v>
      </c>
      <c r="D24" s="91">
        <v>4000</v>
      </c>
      <c r="E24" s="91">
        <v>1500</v>
      </c>
      <c r="F24" s="92">
        <v>15</v>
      </c>
      <c r="G24" s="127" t="s">
        <v>143</v>
      </c>
      <c r="H24" s="128"/>
      <c r="I24" s="339">
        <f aca="true" t="shared" si="2" ref="I24:I30">IF(H24&gt;0,H24,IF(G24=$B$15,$C$8/$C$6,IF(G24=$B$16,$C$8/$C$6,IF(G24=$B$17,$C$8/$C$7,IF(G24=$B$18,$C$8/$C$8,0)))))</f>
        <v>0.025</v>
      </c>
      <c r="J24" s="91">
        <v>25</v>
      </c>
      <c r="K24" s="91">
        <v>0</v>
      </c>
      <c r="L24" s="93">
        <f t="shared" si="0"/>
        <v>166.66666666666666</v>
      </c>
      <c r="M24" s="94">
        <f aca="true" t="shared" si="3" ref="M24:M31">$C$12*((D24+E24)/2)</f>
        <v>137.5</v>
      </c>
      <c r="N24" s="95">
        <f aca="true" t="shared" si="4" ref="N24:N31">L24+M24</f>
        <v>304.16666666666663</v>
      </c>
      <c r="O24" s="16">
        <f t="shared" si="1"/>
        <v>7.604166666666666</v>
      </c>
    </row>
    <row r="25" spans="2:15" ht="15">
      <c r="B25" s="135" t="s">
        <v>99</v>
      </c>
      <c r="C25" s="130" t="s">
        <v>4</v>
      </c>
      <c r="D25" s="91">
        <v>5000</v>
      </c>
      <c r="E25" s="91">
        <v>0</v>
      </c>
      <c r="F25" s="92">
        <v>10</v>
      </c>
      <c r="G25" s="127" t="s">
        <v>143</v>
      </c>
      <c r="H25" s="128"/>
      <c r="I25" s="339">
        <f t="shared" si="2"/>
        <v>0.025</v>
      </c>
      <c r="J25" s="91">
        <v>0</v>
      </c>
      <c r="K25" s="91">
        <v>0</v>
      </c>
      <c r="L25" s="93">
        <f t="shared" si="0"/>
        <v>500</v>
      </c>
      <c r="M25" s="94">
        <f t="shared" si="3"/>
        <v>125</v>
      </c>
      <c r="N25" s="95">
        <f t="shared" si="4"/>
        <v>625</v>
      </c>
      <c r="O25" s="16">
        <f t="shared" si="1"/>
        <v>15.625</v>
      </c>
    </row>
    <row r="26" spans="2:15" ht="15">
      <c r="B26" s="135" t="s">
        <v>193</v>
      </c>
      <c r="C26" s="130" t="s">
        <v>98</v>
      </c>
      <c r="D26" s="91">
        <v>35000</v>
      </c>
      <c r="E26" s="91">
        <v>0</v>
      </c>
      <c r="F26" s="92">
        <v>15</v>
      </c>
      <c r="G26" s="127" t="s">
        <v>143</v>
      </c>
      <c r="H26" s="128"/>
      <c r="I26" s="339">
        <f t="shared" si="2"/>
        <v>0.025</v>
      </c>
      <c r="J26" s="91">
        <v>1000</v>
      </c>
      <c r="K26" s="91">
        <v>2000</v>
      </c>
      <c r="L26" s="93">
        <f t="shared" si="0"/>
        <v>2333.3333333333335</v>
      </c>
      <c r="M26" s="94">
        <f t="shared" si="3"/>
        <v>875</v>
      </c>
      <c r="N26" s="95">
        <f t="shared" si="4"/>
        <v>3208.3333333333335</v>
      </c>
      <c r="O26" s="16">
        <f t="shared" si="1"/>
        <v>80.20833333333334</v>
      </c>
    </row>
    <row r="27" spans="2:15" ht="15">
      <c r="B27" s="129" t="s">
        <v>208</v>
      </c>
      <c r="C27" s="125" t="s">
        <v>4</v>
      </c>
      <c r="D27" s="91">
        <v>1000</v>
      </c>
      <c r="E27" s="91">
        <v>0</v>
      </c>
      <c r="F27" s="92">
        <v>20</v>
      </c>
      <c r="G27" s="127" t="s">
        <v>143</v>
      </c>
      <c r="H27" s="128"/>
      <c r="I27" s="339">
        <f t="shared" si="2"/>
        <v>0.025</v>
      </c>
      <c r="J27" s="91">
        <v>60</v>
      </c>
      <c r="K27" s="91">
        <v>80</v>
      </c>
      <c r="L27" s="93">
        <f t="shared" si="0"/>
        <v>50</v>
      </c>
      <c r="M27" s="94">
        <f t="shared" si="3"/>
        <v>25</v>
      </c>
      <c r="N27" s="95">
        <f t="shared" si="4"/>
        <v>75</v>
      </c>
      <c r="O27" s="16">
        <f t="shared" si="1"/>
        <v>1.875</v>
      </c>
    </row>
    <row r="28" spans="2:15" ht="15">
      <c r="B28" s="129"/>
      <c r="C28" s="125"/>
      <c r="D28" s="131"/>
      <c r="E28" s="131"/>
      <c r="F28" s="132"/>
      <c r="G28" s="127" t="s">
        <v>241</v>
      </c>
      <c r="H28" s="128"/>
      <c r="I28" s="339">
        <f t="shared" si="2"/>
        <v>0.025</v>
      </c>
      <c r="J28" s="126"/>
      <c r="K28" s="126"/>
      <c r="L28" s="93">
        <f t="shared" si="0"/>
        <v>0</v>
      </c>
      <c r="M28" s="94">
        <f t="shared" si="3"/>
        <v>0</v>
      </c>
      <c r="N28" s="95">
        <f t="shared" si="4"/>
        <v>0</v>
      </c>
      <c r="O28" s="16">
        <f>I28*N28</f>
        <v>0</v>
      </c>
    </row>
    <row r="29" spans="2:15" ht="15">
      <c r="B29" s="129"/>
      <c r="C29" s="125"/>
      <c r="D29" s="131"/>
      <c r="E29" s="131"/>
      <c r="F29" s="132"/>
      <c r="G29" s="127" t="s">
        <v>241</v>
      </c>
      <c r="H29" s="128"/>
      <c r="I29" s="339">
        <f t="shared" si="2"/>
        <v>0.025</v>
      </c>
      <c r="J29" s="126"/>
      <c r="K29" s="126"/>
      <c r="L29" s="93">
        <f t="shared" si="0"/>
        <v>0</v>
      </c>
      <c r="M29" s="94">
        <f t="shared" si="3"/>
        <v>0</v>
      </c>
      <c r="N29" s="95">
        <f t="shared" si="4"/>
        <v>0</v>
      </c>
      <c r="O29" s="16">
        <f t="shared" si="1"/>
        <v>0</v>
      </c>
    </row>
    <row r="30" spans="2:15" ht="15">
      <c r="B30" s="129"/>
      <c r="C30" s="125"/>
      <c r="D30" s="131"/>
      <c r="E30" s="131"/>
      <c r="F30" s="132"/>
      <c r="G30" s="127" t="s">
        <v>241</v>
      </c>
      <c r="H30" s="128"/>
      <c r="I30" s="339">
        <f t="shared" si="2"/>
        <v>0.025</v>
      </c>
      <c r="J30" s="126"/>
      <c r="K30" s="126"/>
      <c r="L30" s="93">
        <f t="shared" si="0"/>
        <v>0</v>
      </c>
      <c r="M30" s="94">
        <f t="shared" si="3"/>
        <v>0</v>
      </c>
      <c r="N30" s="95">
        <f t="shared" si="4"/>
        <v>0</v>
      </c>
      <c r="O30" s="16">
        <f t="shared" si="1"/>
        <v>0</v>
      </c>
    </row>
    <row r="31" spans="2:15" ht="15">
      <c r="B31" s="129"/>
      <c r="C31" s="125"/>
      <c r="D31" s="131"/>
      <c r="E31" s="131"/>
      <c r="F31" s="132"/>
      <c r="G31" s="127" t="s">
        <v>241</v>
      </c>
      <c r="H31" s="128"/>
      <c r="I31" s="339">
        <f>IF(H31&gt;0,H31,IF(G31=$B$15,$C$8/$C$6,IF(G31=$B$16,$C$8/$C$6,IF(G31=$B$17,$C$8/$C$7,IF(G31=$B$18,$C$8/$C$8,0)))))</f>
        <v>0.025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6"/>
      <c r="M32" s="307"/>
      <c r="N32" s="308">
        <f>SUM(N23:N31)</f>
        <v>5375</v>
      </c>
      <c r="O32" s="308">
        <f>SUM(O23:O31)</f>
        <v>134.375</v>
      </c>
    </row>
    <row r="33" spans="2:15" ht="15.75" thickBot="1">
      <c r="B33" s="30"/>
      <c r="C33" s="8"/>
      <c r="D33" s="8"/>
      <c r="E33" s="8"/>
      <c r="F33" s="8"/>
      <c r="G33" s="8"/>
      <c r="H33" s="8"/>
      <c r="I33" s="8"/>
      <c r="J33" s="8"/>
      <c r="K33" s="9"/>
      <c r="L33" s="8"/>
      <c r="M33" s="8"/>
      <c r="N33" s="8"/>
      <c r="O33" s="101"/>
    </row>
    <row r="34" spans="2:15" ht="15">
      <c r="B34" s="490" t="s">
        <v>32</v>
      </c>
      <c r="C34" s="491"/>
      <c r="D34" s="491"/>
      <c r="E34" s="491"/>
      <c r="F34" s="491"/>
      <c r="G34" s="491"/>
      <c r="H34" s="491"/>
      <c r="I34" s="491"/>
      <c r="J34" s="491"/>
      <c r="K34" s="491"/>
      <c r="L34" s="491"/>
      <c r="M34" s="491"/>
      <c r="N34" s="491"/>
      <c r="O34" s="492"/>
    </row>
    <row r="35" spans="2:15" ht="15">
      <c r="B35" s="129" t="s">
        <v>224</v>
      </c>
      <c r="C35" s="125"/>
      <c r="D35" s="91">
        <v>250</v>
      </c>
      <c r="E35" s="91">
        <v>0</v>
      </c>
      <c r="F35" s="92">
        <v>10</v>
      </c>
      <c r="G35" s="127" t="s">
        <v>143</v>
      </c>
      <c r="H35" s="152"/>
      <c r="I35" s="339">
        <f>IF(H35&gt;0,H35,IF(G35=$B$15,$C$8/$C$6,IF(G35=$B$16,$C$8/$C$6,IF(G35=$B$17,$C$8/$C$7,IF(G35=$B$18,$C$8/$C$8,0)))))</f>
        <v>0.025</v>
      </c>
      <c r="J35" s="91">
        <v>20</v>
      </c>
      <c r="K35" s="91">
        <v>0</v>
      </c>
      <c r="L35" s="93">
        <f aca="true" t="shared" si="5" ref="L35:L52">IF(AND(F35&gt;0,D35&gt;E35),(D35-E35)/F35,0)</f>
        <v>25</v>
      </c>
      <c r="M35" s="94">
        <f aca="true" t="shared" si="6" ref="M35:M52">$C$12*((D35+E35)/2)</f>
        <v>6.25</v>
      </c>
      <c r="N35" s="95">
        <f>L35+M35</f>
        <v>31.25</v>
      </c>
      <c r="O35" s="16">
        <f aca="true" t="shared" si="7" ref="O35:O52">I35*N35</f>
        <v>0.78125</v>
      </c>
    </row>
    <row r="36" spans="2:15" ht="15">
      <c r="B36" s="129" t="s">
        <v>225</v>
      </c>
      <c r="C36" s="125"/>
      <c r="D36" s="91">
        <v>200</v>
      </c>
      <c r="E36" s="91">
        <v>0</v>
      </c>
      <c r="F36" s="92">
        <v>20</v>
      </c>
      <c r="G36" s="127" t="s">
        <v>143</v>
      </c>
      <c r="H36" s="152"/>
      <c r="I36" s="339">
        <f aca="true" t="shared" si="8" ref="I36:I52">IF(H36&gt;0,H36,IF(G36=$B$15,$C$8/$C$6,IF(G36=$B$16,$C$8/$C$6,IF(G36=$B$17,$C$8/$C$7,IF(G36=$B$18,$C$8/$C$8,0)))))</f>
        <v>0.025</v>
      </c>
      <c r="J36" s="91">
        <v>0</v>
      </c>
      <c r="K36" s="91">
        <v>0</v>
      </c>
      <c r="L36" s="93">
        <f t="shared" si="5"/>
        <v>10</v>
      </c>
      <c r="M36" s="94">
        <f t="shared" si="6"/>
        <v>5</v>
      </c>
      <c r="N36" s="95">
        <f aca="true" t="shared" si="9" ref="N36:N52">L36+M36</f>
        <v>15</v>
      </c>
      <c r="O36" s="16">
        <f t="shared" si="7"/>
        <v>0.375</v>
      </c>
    </row>
    <row r="37" spans="2:15" ht="15">
      <c r="B37" s="129" t="s">
        <v>209</v>
      </c>
      <c r="C37" s="125" t="s">
        <v>98</v>
      </c>
      <c r="D37" s="91">
        <v>800</v>
      </c>
      <c r="E37" s="91">
        <v>0</v>
      </c>
      <c r="F37" s="92">
        <v>20</v>
      </c>
      <c r="G37" s="127" t="s">
        <v>143</v>
      </c>
      <c r="H37" s="152"/>
      <c r="I37" s="339">
        <f t="shared" si="8"/>
        <v>0.025</v>
      </c>
      <c r="J37" s="91">
        <v>15</v>
      </c>
      <c r="K37" s="91">
        <v>0</v>
      </c>
      <c r="L37" s="93">
        <f t="shared" si="5"/>
        <v>40</v>
      </c>
      <c r="M37" s="94">
        <f t="shared" si="6"/>
        <v>20</v>
      </c>
      <c r="N37" s="95">
        <f t="shared" si="9"/>
        <v>60</v>
      </c>
      <c r="O37" s="16">
        <f>I37*N37</f>
        <v>1.5</v>
      </c>
    </row>
    <row r="38" spans="2:15" ht="15">
      <c r="B38" s="129" t="s">
        <v>226</v>
      </c>
      <c r="C38" s="125"/>
      <c r="D38" s="91">
        <v>500</v>
      </c>
      <c r="E38" s="91">
        <v>0</v>
      </c>
      <c r="F38" s="92">
        <v>20</v>
      </c>
      <c r="G38" s="127" t="s">
        <v>143</v>
      </c>
      <c r="H38" s="152"/>
      <c r="I38" s="339">
        <f t="shared" si="8"/>
        <v>0.025</v>
      </c>
      <c r="J38" s="91">
        <v>20</v>
      </c>
      <c r="K38" s="91">
        <v>0</v>
      </c>
      <c r="L38" s="93">
        <f t="shared" si="5"/>
        <v>25</v>
      </c>
      <c r="M38" s="94">
        <f t="shared" si="6"/>
        <v>12.5</v>
      </c>
      <c r="N38" s="95">
        <f t="shared" si="9"/>
        <v>37.5</v>
      </c>
      <c r="O38" s="16">
        <f t="shared" si="7"/>
        <v>0.9375</v>
      </c>
    </row>
    <row r="39" spans="2:15" ht="15">
      <c r="B39" s="129" t="s">
        <v>194</v>
      </c>
      <c r="C39" s="125"/>
      <c r="D39" s="91">
        <v>150</v>
      </c>
      <c r="E39" s="91">
        <v>0</v>
      </c>
      <c r="F39" s="92">
        <v>2</v>
      </c>
      <c r="G39" s="127" t="s">
        <v>143</v>
      </c>
      <c r="H39" s="152"/>
      <c r="I39" s="339">
        <f t="shared" si="8"/>
        <v>0.025</v>
      </c>
      <c r="J39" s="91">
        <v>0</v>
      </c>
      <c r="K39" s="91">
        <v>0</v>
      </c>
      <c r="L39" s="93">
        <f t="shared" si="5"/>
        <v>75</v>
      </c>
      <c r="M39" s="94">
        <f t="shared" si="6"/>
        <v>3.75</v>
      </c>
      <c r="N39" s="95">
        <f t="shared" si="9"/>
        <v>78.75</v>
      </c>
      <c r="O39" s="16">
        <f t="shared" si="7"/>
        <v>1.96875</v>
      </c>
    </row>
    <row r="40" spans="2:15" ht="15">
      <c r="B40" s="129" t="s">
        <v>210</v>
      </c>
      <c r="C40" s="125"/>
      <c r="D40" s="91">
        <v>100</v>
      </c>
      <c r="E40" s="91">
        <v>0</v>
      </c>
      <c r="F40" s="92">
        <v>5</v>
      </c>
      <c r="G40" s="127" t="s">
        <v>143</v>
      </c>
      <c r="H40" s="152"/>
      <c r="I40" s="339">
        <f t="shared" si="8"/>
        <v>0.025</v>
      </c>
      <c r="J40" s="91">
        <v>0</v>
      </c>
      <c r="K40" s="91">
        <v>0</v>
      </c>
      <c r="L40" s="93">
        <f t="shared" si="5"/>
        <v>20</v>
      </c>
      <c r="M40" s="94">
        <f t="shared" si="6"/>
        <v>2.5</v>
      </c>
      <c r="N40" s="95">
        <f t="shared" si="9"/>
        <v>22.5</v>
      </c>
      <c r="O40" s="16">
        <f t="shared" si="7"/>
        <v>0.5625</v>
      </c>
    </row>
    <row r="41" spans="2:15" ht="15">
      <c r="B41" s="129" t="s">
        <v>227</v>
      </c>
      <c r="C41" s="125" t="s">
        <v>212</v>
      </c>
      <c r="D41" s="91">
        <v>150</v>
      </c>
      <c r="E41" s="91">
        <v>0</v>
      </c>
      <c r="F41" s="92">
        <v>5</v>
      </c>
      <c r="G41" s="127" t="s">
        <v>143</v>
      </c>
      <c r="H41" s="152"/>
      <c r="I41" s="339">
        <f t="shared" si="8"/>
        <v>0.025</v>
      </c>
      <c r="J41" s="91">
        <v>0</v>
      </c>
      <c r="K41" s="91">
        <v>0</v>
      </c>
      <c r="L41" s="93">
        <f t="shared" si="5"/>
        <v>30</v>
      </c>
      <c r="M41" s="94">
        <f t="shared" si="6"/>
        <v>3.75</v>
      </c>
      <c r="N41" s="95">
        <f t="shared" si="9"/>
        <v>33.75</v>
      </c>
      <c r="O41" s="16">
        <f t="shared" si="7"/>
        <v>0.84375</v>
      </c>
    </row>
    <row r="42" spans="2:15" ht="15">
      <c r="B42" s="129" t="s">
        <v>228</v>
      </c>
      <c r="C42" s="125"/>
      <c r="D42" s="91">
        <v>450</v>
      </c>
      <c r="E42" s="91">
        <v>0</v>
      </c>
      <c r="F42" s="92">
        <v>10</v>
      </c>
      <c r="G42" s="127" t="s">
        <v>143</v>
      </c>
      <c r="H42" s="152"/>
      <c r="I42" s="339">
        <f t="shared" si="8"/>
        <v>0.025</v>
      </c>
      <c r="J42" s="91">
        <v>0</v>
      </c>
      <c r="K42" s="91">
        <v>0</v>
      </c>
      <c r="L42" s="93">
        <f t="shared" si="5"/>
        <v>45</v>
      </c>
      <c r="M42" s="94">
        <f t="shared" si="6"/>
        <v>11.25</v>
      </c>
      <c r="N42" s="95">
        <f t="shared" si="9"/>
        <v>56.25</v>
      </c>
      <c r="O42" s="16">
        <f t="shared" si="7"/>
        <v>1.40625</v>
      </c>
    </row>
    <row r="43" spans="2:15" ht="15">
      <c r="B43" s="129" t="s">
        <v>211</v>
      </c>
      <c r="C43" s="125"/>
      <c r="D43" s="91">
        <v>400</v>
      </c>
      <c r="E43" s="91">
        <v>0</v>
      </c>
      <c r="F43" s="92">
        <v>5</v>
      </c>
      <c r="G43" s="127" t="s">
        <v>143</v>
      </c>
      <c r="H43" s="128"/>
      <c r="I43" s="339">
        <f t="shared" si="8"/>
        <v>0.025</v>
      </c>
      <c r="J43" s="91">
        <v>0</v>
      </c>
      <c r="K43" s="91">
        <v>0</v>
      </c>
      <c r="L43" s="93">
        <f t="shared" si="5"/>
        <v>80</v>
      </c>
      <c r="M43" s="94">
        <f t="shared" si="6"/>
        <v>10</v>
      </c>
      <c r="N43" s="95">
        <f t="shared" si="9"/>
        <v>90</v>
      </c>
      <c r="O43" s="16">
        <f t="shared" si="7"/>
        <v>2.25</v>
      </c>
    </row>
    <row r="44" spans="2:15" ht="15">
      <c r="B44" s="129" t="s">
        <v>229</v>
      </c>
      <c r="C44" s="125"/>
      <c r="D44" s="91">
        <v>480</v>
      </c>
      <c r="E44" s="91">
        <v>0</v>
      </c>
      <c r="F44" s="92">
        <v>5</v>
      </c>
      <c r="G44" s="127" t="s">
        <v>143</v>
      </c>
      <c r="H44" s="128"/>
      <c r="I44" s="339">
        <f t="shared" si="8"/>
        <v>0.025</v>
      </c>
      <c r="J44" s="91">
        <v>0</v>
      </c>
      <c r="K44" s="91">
        <v>0</v>
      </c>
      <c r="L44" s="93">
        <f t="shared" si="5"/>
        <v>96</v>
      </c>
      <c r="M44" s="94">
        <f t="shared" si="6"/>
        <v>12</v>
      </c>
      <c r="N44" s="95">
        <f t="shared" si="9"/>
        <v>108</v>
      </c>
      <c r="O44" s="16">
        <f t="shared" si="7"/>
        <v>2.7</v>
      </c>
    </row>
    <row r="45" spans="2:15" ht="15">
      <c r="B45" s="129" t="s">
        <v>2</v>
      </c>
      <c r="C45" s="125"/>
      <c r="D45" s="91">
        <v>300</v>
      </c>
      <c r="E45" s="91">
        <v>0</v>
      </c>
      <c r="F45" s="92">
        <v>10</v>
      </c>
      <c r="G45" s="127" t="s">
        <v>143</v>
      </c>
      <c r="H45" s="128"/>
      <c r="I45" s="339">
        <f t="shared" si="8"/>
        <v>0.025</v>
      </c>
      <c r="J45" s="91">
        <v>0</v>
      </c>
      <c r="K45" s="91">
        <v>0</v>
      </c>
      <c r="L45" s="93">
        <f t="shared" si="5"/>
        <v>30</v>
      </c>
      <c r="M45" s="94">
        <f t="shared" si="6"/>
        <v>7.5</v>
      </c>
      <c r="N45" s="95">
        <f t="shared" si="9"/>
        <v>37.5</v>
      </c>
      <c r="O45" s="16">
        <f t="shared" si="7"/>
        <v>0.9375</v>
      </c>
    </row>
    <row r="46" spans="2:15" ht="15">
      <c r="B46" s="129"/>
      <c r="C46" s="125"/>
      <c r="D46" s="126"/>
      <c r="E46" s="126"/>
      <c r="F46" s="127"/>
      <c r="G46" s="127" t="s">
        <v>241</v>
      </c>
      <c r="H46" s="128"/>
      <c r="I46" s="339">
        <f t="shared" si="8"/>
        <v>0.025</v>
      </c>
      <c r="J46" s="126"/>
      <c r="K46" s="126"/>
      <c r="L46" s="93">
        <f t="shared" si="5"/>
        <v>0</v>
      </c>
      <c r="M46" s="94">
        <f t="shared" si="6"/>
        <v>0</v>
      </c>
      <c r="N46" s="95">
        <f t="shared" si="9"/>
        <v>0</v>
      </c>
      <c r="O46" s="16">
        <f t="shared" si="7"/>
        <v>0</v>
      </c>
    </row>
    <row r="47" spans="2:15" ht="15">
      <c r="B47" s="129"/>
      <c r="C47" s="125"/>
      <c r="D47" s="126"/>
      <c r="E47" s="126"/>
      <c r="F47" s="127"/>
      <c r="G47" s="127" t="s">
        <v>241</v>
      </c>
      <c r="H47" s="128"/>
      <c r="I47" s="339">
        <f t="shared" si="8"/>
        <v>0.025</v>
      </c>
      <c r="J47" s="126"/>
      <c r="K47" s="126"/>
      <c r="L47" s="93">
        <f t="shared" si="5"/>
        <v>0</v>
      </c>
      <c r="M47" s="94">
        <f t="shared" si="6"/>
        <v>0</v>
      </c>
      <c r="N47" s="95">
        <f t="shared" si="9"/>
        <v>0</v>
      </c>
      <c r="O47" s="16">
        <f t="shared" si="7"/>
        <v>0</v>
      </c>
    </row>
    <row r="48" spans="2:256" ht="15">
      <c r="B48" s="129"/>
      <c r="C48" s="125"/>
      <c r="D48" s="126"/>
      <c r="E48" s="126"/>
      <c r="F48" s="127"/>
      <c r="G48" s="127" t="s">
        <v>241</v>
      </c>
      <c r="H48" s="128"/>
      <c r="I48" s="339">
        <f t="shared" si="8"/>
        <v>0.025</v>
      </c>
      <c r="J48" s="126"/>
      <c r="K48" s="126"/>
      <c r="L48" s="93">
        <f t="shared" si="5"/>
        <v>0</v>
      </c>
      <c r="M48" s="94">
        <f t="shared" si="6"/>
        <v>0</v>
      </c>
      <c r="N48" s="95">
        <f t="shared" si="9"/>
        <v>0</v>
      </c>
      <c r="O48" s="16">
        <f t="shared" si="7"/>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241</v>
      </c>
      <c r="H49" s="128"/>
      <c r="I49" s="339">
        <f t="shared" si="8"/>
        <v>0.025</v>
      </c>
      <c r="J49" s="126"/>
      <c r="K49" s="126"/>
      <c r="L49" s="93">
        <f t="shared" si="5"/>
        <v>0</v>
      </c>
      <c r="M49" s="94">
        <f t="shared" si="6"/>
        <v>0</v>
      </c>
      <c r="N49" s="95">
        <f t="shared" si="9"/>
        <v>0</v>
      </c>
      <c r="O49" s="16">
        <f t="shared" si="7"/>
        <v>0</v>
      </c>
    </row>
    <row r="50" spans="2:15" s="1" customFormat="1" ht="15">
      <c r="B50" s="129"/>
      <c r="C50" s="125"/>
      <c r="D50" s="126"/>
      <c r="E50" s="126"/>
      <c r="F50" s="127"/>
      <c r="G50" s="127" t="s">
        <v>241</v>
      </c>
      <c r="H50" s="128"/>
      <c r="I50" s="339">
        <f t="shared" si="8"/>
        <v>0.025</v>
      </c>
      <c r="J50" s="126"/>
      <c r="K50" s="126"/>
      <c r="L50" s="93">
        <f t="shared" si="5"/>
        <v>0</v>
      </c>
      <c r="M50" s="94">
        <f t="shared" si="6"/>
        <v>0</v>
      </c>
      <c r="N50" s="95">
        <f>L50+M50</f>
        <v>0</v>
      </c>
      <c r="O50" s="16">
        <f t="shared" si="7"/>
        <v>0</v>
      </c>
    </row>
    <row r="51" spans="2:15" s="1" customFormat="1" ht="15">
      <c r="B51" s="129"/>
      <c r="C51" s="125"/>
      <c r="D51" s="126"/>
      <c r="E51" s="126"/>
      <c r="F51" s="127"/>
      <c r="G51" s="127" t="s">
        <v>241</v>
      </c>
      <c r="H51" s="128"/>
      <c r="I51" s="339">
        <f t="shared" si="8"/>
        <v>0.025</v>
      </c>
      <c r="J51" s="126"/>
      <c r="K51" s="126"/>
      <c r="L51" s="93">
        <f t="shared" si="5"/>
        <v>0</v>
      </c>
      <c r="M51" s="94">
        <f t="shared" si="6"/>
        <v>0</v>
      </c>
      <c r="N51" s="95">
        <f>L51+M51</f>
        <v>0</v>
      </c>
      <c r="O51" s="16">
        <f t="shared" si="7"/>
        <v>0</v>
      </c>
    </row>
    <row r="52" spans="2:15" ht="15">
      <c r="B52" s="129"/>
      <c r="C52" s="125"/>
      <c r="D52" s="126"/>
      <c r="E52" s="126"/>
      <c r="F52" s="127"/>
      <c r="G52" s="127" t="s">
        <v>241</v>
      </c>
      <c r="H52" s="128"/>
      <c r="I52" s="339">
        <f t="shared" si="8"/>
        <v>0.025</v>
      </c>
      <c r="J52" s="126"/>
      <c r="K52" s="126"/>
      <c r="L52" s="93">
        <f t="shared" si="5"/>
        <v>0</v>
      </c>
      <c r="M52" s="94">
        <f t="shared" si="6"/>
        <v>0</v>
      </c>
      <c r="N52" s="95">
        <f t="shared" si="9"/>
        <v>0</v>
      </c>
      <c r="O52" s="16">
        <f t="shared" si="7"/>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14.2625</v>
      </c>
    </row>
    <row r="54" spans="2:15" ht="15.75" thickBot="1">
      <c r="B54" s="30"/>
      <c r="C54" s="8"/>
      <c r="D54" s="8"/>
      <c r="E54" s="8"/>
      <c r="F54" s="8"/>
      <c r="G54" s="8"/>
      <c r="H54" s="8"/>
      <c r="I54" s="8"/>
      <c r="J54" s="8"/>
      <c r="K54" s="9"/>
      <c r="L54" s="8"/>
      <c r="M54" s="8"/>
      <c r="N54" s="8"/>
      <c r="O54" s="101"/>
    </row>
    <row r="55" spans="2:15" ht="15">
      <c r="B55" s="493" t="s">
        <v>147</v>
      </c>
      <c r="C55" s="494"/>
      <c r="D55" s="494"/>
      <c r="E55" s="494"/>
      <c r="F55" s="494"/>
      <c r="G55" s="494"/>
      <c r="H55" s="494"/>
      <c r="I55" s="494"/>
      <c r="J55" s="494"/>
      <c r="K55" s="494"/>
      <c r="L55" s="494"/>
      <c r="M55" s="494"/>
      <c r="N55" s="494"/>
      <c r="O55" s="495"/>
    </row>
    <row r="56" spans="2:15" ht="15">
      <c r="B56" s="129" t="s">
        <v>213</v>
      </c>
      <c r="C56" s="125"/>
      <c r="D56" s="91">
        <v>2000</v>
      </c>
      <c r="E56" s="91">
        <v>0</v>
      </c>
      <c r="F56" s="92">
        <v>3</v>
      </c>
      <c r="G56" s="127" t="s">
        <v>143</v>
      </c>
      <c r="H56" s="152"/>
      <c r="I56" s="339">
        <f>IF(H56&gt;0,H56,IF(G56=$B$15,$C$8/$C$6,IF(G56=$B$16,$C$8/$C$6,IF(G56=$B$17,$C$8/$C$7,IF(G56=$B$18,$C$8/$C$8,0)))))</f>
        <v>0.025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17.916666666666668</v>
      </c>
    </row>
    <row r="57" spans="2:15" ht="15">
      <c r="B57" s="129" t="s">
        <v>214</v>
      </c>
      <c r="C57" s="125"/>
      <c r="D57" s="91">
        <v>3000</v>
      </c>
      <c r="E57" s="91">
        <v>0</v>
      </c>
      <c r="F57" s="92">
        <v>10</v>
      </c>
      <c r="G57" s="127" t="s">
        <v>143</v>
      </c>
      <c r="H57" s="152"/>
      <c r="I57" s="339">
        <f aca="true" t="shared" si="13" ref="I57:I64">IF(H57&gt;0,H57,IF(G57=$B$15,$C$8/$C$6,IF(G57=$B$16,$C$8/$C$6,IF(G57=$B$17,$C$8/$C$7,IF(G57=$B$18,$C$8/$C$8,0)))))</f>
        <v>0.025</v>
      </c>
      <c r="J57" s="91">
        <v>0</v>
      </c>
      <c r="K57" s="91">
        <v>0</v>
      </c>
      <c r="L57" s="93">
        <f t="shared" si="10"/>
        <v>300</v>
      </c>
      <c r="M57" s="94">
        <f t="shared" si="11"/>
        <v>75</v>
      </c>
      <c r="N57" s="95">
        <f aca="true" t="shared" si="14" ref="N57:N64">L57+M57</f>
        <v>375</v>
      </c>
      <c r="O57" s="16">
        <f t="shared" si="12"/>
        <v>9.375</v>
      </c>
    </row>
    <row r="58" spans="2:15" ht="15">
      <c r="B58" s="129"/>
      <c r="C58" s="125"/>
      <c r="D58" s="91"/>
      <c r="E58" s="91"/>
      <c r="F58" s="92"/>
      <c r="G58" s="127" t="s">
        <v>241</v>
      </c>
      <c r="H58" s="152"/>
      <c r="I58" s="339">
        <f t="shared" si="13"/>
        <v>0.025</v>
      </c>
      <c r="J58" s="91">
        <v>0</v>
      </c>
      <c r="K58" s="91">
        <v>0</v>
      </c>
      <c r="L58" s="93">
        <f t="shared" si="10"/>
        <v>0</v>
      </c>
      <c r="M58" s="94">
        <f t="shared" si="11"/>
        <v>0</v>
      </c>
      <c r="N58" s="95">
        <f t="shared" si="14"/>
        <v>0</v>
      </c>
      <c r="O58" s="16">
        <f t="shared" si="12"/>
        <v>0</v>
      </c>
    </row>
    <row r="59" spans="2:15" ht="15">
      <c r="B59" s="129"/>
      <c r="C59" s="125"/>
      <c r="D59" s="91"/>
      <c r="E59" s="91"/>
      <c r="F59" s="92"/>
      <c r="G59" s="127" t="s">
        <v>241</v>
      </c>
      <c r="H59" s="152"/>
      <c r="I59" s="339">
        <f t="shared" si="13"/>
        <v>0.025</v>
      </c>
      <c r="J59" s="91">
        <v>0</v>
      </c>
      <c r="K59" s="91">
        <v>0</v>
      </c>
      <c r="L59" s="93">
        <f t="shared" si="10"/>
        <v>0</v>
      </c>
      <c r="M59" s="94">
        <f t="shared" si="11"/>
        <v>0</v>
      </c>
      <c r="N59" s="95">
        <f t="shared" si="14"/>
        <v>0</v>
      </c>
      <c r="O59" s="16">
        <f t="shared" si="12"/>
        <v>0</v>
      </c>
    </row>
    <row r="60" spans="2:15" ht="15">
      <c r="B60" s="129"/>
      <c r="C60" s="125"/>
      <c r="D60" s="91"/>
      <c r="E60" s="91"/>
      <c r="F60" s="92"/>
      <c r="G60" s="127" t="s">
        <v>241</v>
      </c>
      <c r="H60" s="152"/>
      <c r="I60" s="339">
        <f t="shared" si="13"/>
        <v>0.025</v>
      </c>
      <c r="J60" s="91">
        <v>0</v>
      </c>
      <c r="K60" s="91">
        <v>0</v>
      </c>
      <c r="L60" s="93">
        <f t="shared" si="10"/>
        <v>0</v>
      </c>
      <c r="M60" s="94">
        <f t="shared" si="11"/>
        <v>0</v>
      </c>
      <c r="N60" s="95">
        <f t="shared" si="14"/>
        <v>0</v>
      </c>
      <c r="O60" s="16">
        <f t="shared" si="12"/>
        <v>0</v>
      </c>
    </row>
    <row r="61" spans="2:15" ht="15">
      <c r="B61" s="129"/>
      <c r="C61" s="125"/>
      <c r="D61" s="131"/>
      <c r="E61" s="131"/>
      <c r="F61" s="132"/>
      <c r="G61" s="127" t="s">
        <v>241</v>
      </c>
      <c r="H61" s="152"/>
      <c r="I61" s="339">
        <f t="shared" si="13"/>
        <v>0.025</v>
      </c>
      <c r="J61" s="131"/>
      <c r="K61" s="131"/>
      <c r="L61" s="93">
        <f t="shared" si="10"/>
        <v>0</v>
      </c>
      <c r="M61" s="94">
        <f t="shared" si="11"/>
        <v>0</v>
      </c>
      <c r="N61" s="95">
        <f t="shared" si="14"/>
        <v>0</v>
      </c>
      <c r="O61" s="16">
        <f t="shared" si="12"/>
        <v>0</v>
      </c>
    </row>
    <row r="62" spans="2:15" ht="15">
      <c r="B62" s="129"/>
      <c r="C62" s="125"/>
      <c r="D62" s="131"/>
      <c r="E62" s="131"/>
      <c r="F62" s="132"/>
      <c r="G62" s="127" t="s">
        <v>241</v>
      </c>
      <c r="H62" s="152"/>
      <c r="I62" s="339">
        <f t="shared" si="13"/>
        <v>0.025</v>
      </c>
      <c r="J62" s="131"/>
      <c r="K62" s="131"/>
      <c r="L62" s="93">
        <f t="shared" si="10"/>
        <v>0</v>
      </c>
      <c r="M62" s="94">
        <f t="shared" si="11"/>
        <v>0</v>
      </c>
      <c r="N62" s="95">
        <f t="shared" si="14"/>
        <v>0</v>
      </c>
      <c r="O62" s="16">
        <f t="shared" si="12"/>
        <v>0</v>
      </c>
    </row>
    <row r="63" spans="2:15" s="1" customFormat="1" ht="15">
      <c r="B63" s="129"/>
      <c r="C63" s="125"/>
      <c r="D63" s="131"/>
      <c r="E63" s="131"/>
      <c r="F63" s="132"/>
      <c r="G63" s="127" t="s">
        <v>241</v>
      </c>
      <c r="H63" s="152"/>
      <c r="I63" s="339">
        <f t="shared" si="13"/>
        <v>0.025</v>
      </c>
      <c r="J63" s="131"/>
      <c r="K63" s="131"/>
      <c r="L63" s="93">
        <f t="shared" si="10"/>
        <v>0</v>
      </c>
      <c r="M63" s="94">
        <f t="shared" si="11"/>
        <v>0</v>
      </c>
      <c r="N63" s="95">
        <f t="shared" si="14"/>
        <v>0</v>
      </c>
      <c r="O63" s="16">
        <f t="shared" si="12"/>
        <v>0</v>
      </c>
    </row>
    <row r="64" spans="2:15" s="1" customFormat="1" ht="15">
      <c r="B64" s="129"/>
      <c r="C64" s="125"/>
      <c r="D64" s="131"/>
      <c r="E64" s="131"/>
      <c r="F64" s="132"/>
      <c r="G64" s="127" t="s">
        <v>241</v>
      </c>
      <c r="H64" s="152"/>
      <c r="I64" s="339">
        <f t="shared" si="13"/>
        <v>0.025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27.291666666666668</v>
      </c>
    </row>
    <row r="66" spans="2:15" ht="15.75" thickBot="1">
      <c r="B66" s="30"/>
      <c r="C66" s="8"/>
      <c r="D66" s="8"/>
      <c r="E66" s="8"/>
      <c r="F66" s="8"/>
      <c r="G66" s="8"/>
      <c r="H66" s="8"/>
      <c r="I66" s="8"/>
      <c r="J66" s="8"/>
      <c r="K66" s="9"/>
      <c r="L66" s="8"/>
      <c r="M66" s="8"/>
      <c r="N66" s="8"/>
      <c r="O66" s="101"/>
    </row>
    <row r="67" spans="2:15" ht="15">
      <c r="B67" s="484" t="s">
        <v>34</v>
      </c>
      <c r="C67" s="485"/>
      <c r="D67" s="485"/>
      <c r="E67" s="485"/>
      <c r="F67" s="485"/>
      <c r="G67" s="485"/>
      <c r="H67" s="485"/>
      <c r="I67" s="485"/>
      <c r="J67" s="485"/>
      <c r="K67" s="485"/>
      <c r="L67" s="485"/>
      <c r="M67" s="485"/>
      <c r="N67" s="485"/>
      <c r="O67" s="486"/>
    </row>
    <row r="68" spans="2:15" ht="15">
      <c r="B68" s="129" t="s">
        <v>218</v>
      </c>
      <c r="C68" s="125" t="s">
        <v>219</v>
      </c>
      <c r="D68" s="91">
        <v>3000</v>
      </c>
      <c r="E68" s="91">
        <v>0</v>
      </c>
      <c r="F68" s="92">
        <v>10</v>
      </c>
      <c r="G68" s="127" t="s">
        <v>143</v>
      </c>
      <c r="H68" s="152"/>
      <c r="I68" s="339">
        <f>IF(H68&gt;0,H68,IF(G68=$B$15,$C$8/$C$6,IF(G68=$B$16,$C$8/$C$6,IF(G68=$B$17,$C$8/$C$7,IF(G68=$B$18,$C$8/$C$8,0)))))</f>
        <v>0.025</v>
      </c>
      <c r="J68" s="91">
        <v>300</v>
      </c>
      <c r="K68" s="91">
        <v>0</v>
      </c>
      <c r="L68" s="93">
        <f>IF(AND(F68&gt;0,D68&gt;E68),(D68-E68)/F68,0)</f>
        <v>300</v>
      </c>
      <c r="M68" s="94">
        <f aca="true" t="shared" si="15" ref="M68:M75">$C$12*((D68+E68)/2)</f>
        <v>75</v>
      </c>
      <c r="N68" s="95">
        <f>L68+M68</f>
        <v>375</v>
      </c>
      <c r="O68" s="16">
        <f>I68*N68</f>
        <v>9.375</v>
      </c>
    </row>
    <row r="69" spans="2:15" ht="15">
      <c r="B69" s="151" t="s">
        <v>215</v>
      </c>
      <c r="C69" s="125"/>
      <c r="D69" s="91">
        <v>500</v>
      </c>
      <c r="E69" s="91">
        <v>0</v>
      </c>
      <c r="F69" s="92">
        <v>10</v>
      </c>
      <c r="G69" s="127" t="s">
        <v>143</v>
      </c>
      <c r="H69" s="152"/>
      <c r="I69" s="339">
        <f aca="true" t="shared" si="16" ref="I69:I75">IF(H69&gt;0,H69,IF(G69=$B$15,$C$8/$C$6,IF(G69=$B$16,$C$8/$C$6,IF(G69=$B$17,$C$8/$C$7,IF(G69=$B$18,$C$8/$C$8,0)))))</f>
        <v>0.025</v>
      </c>
      <c r="J69" s="91">
        <v>0</v>
      </c>
      <c r="K69" s="91">
        <v>0</v>
      </c>
      <c r="L69" s="93">
        <f aca="true" t="shared" si="17" ref="L69:L75">IF(AND(F69&gt;0,D69&gt;E69),(D69-E69)/F69,0)</f>
        <v>50</v>
      </c>
      <c r="M69" s="94">
        <f t="shared" si="15"/>
        <v>12.5</v>
      </c>
      <c r="N69" s="95">
        <f aca="true" t="shared" si="18" ref="N69:N75">L69+M69</f>
        <v>62.5</v>
      </c>
      <c r="O69" s="16">
        <f aca="true" t="shared" si="19" ref="O69:O75">I69*N69</f>
        <v>1.5625</v>
      </c>
    </row>
    <row r="70" spans="2:15" ht="15">
      <c r="B70" s="129" t="s">
        <v>216</v>
      </c>
      <c r="C70" s="125"/>
      <c r="D70" s="91">
        <v>300</v>
      </c>
      <c r="E70" s="91">
        <v>0</v>
      </c>
      <c r="F70" s="92">
        <v>5</v>
      </c>
      <c r="G70" s="127" t="s">
        <v>143</v>
      </c>
      <c r="H70" s="152"/>
      <c r="I70" s="339">
        <f t="shared" si="16"/>
        <v>0.025</v>
      </c>
      <c r="J70" s="91">
        <v>0</v>
      </c>
      <c r="K70" s="91">
        <v>0</v>
      </c>
      <c r="L70" s="93">
        <f t="shared" si="17"/>
        <v>60</v>
      </c>
      <c r="M70" s="94">
        <f t="shared" si="15"/>
        <v>7.5</v>
      </c>
      <c r="N70" s="95">
        <f t="shared" si="18"/>
        <v>67.5</v>
      </c>
      <c r="O70" s="16">
        <f t="shared" si="19"/>
        <v>1.6875</v>
      </c>
    </row>
    <row r="71" spans="2:15" ht="15">
      <c r="B71" s="129" t="s">
        <v>217</v>
      </c>
      <c r="C71" s="125"/>
      <c r="D71" s="91">
        <v>1500</v>
      </c>
      <c r="E71" s="91">
        <v>0</v>
      </c>
      <c r="F71" s="92">
        <v>20</v>
      </c>
      <c r="G71" s="127" t="s">
        <v>143</v>
      </c>
      <c r="H71" s="152"/>
      <c r="I71" s="339">
        <f t="shared" si="16"/>
        <v>0.025</v>
      </c>
      <c r="J71" s="91">
        <v>100</v>
      </c>
      <c r="K71" s="91">
        <v>0</v>
      </c>
      <c r="L71" s="93">
        <f t="shared" si="17"/>
        <v>75</v>
      </c>
      <c r="M71" s="94">
        <f t="shared" si="15"/>
        <v>37.5</v>
      </c>
      <c r="N71" s="95">
        <f t="shared" si="18"/>
        <v>112.5</v>
      </c>
      <c r="O71" s="16">
        <f t="shared" si="19"/>
        <v>2.8125</v>
      </c>
    </row>
    <row r="72" spans="2:15" ht="15">
      <c r="B72" s="129"/>
      <c r="C72" s="125"/>
      <c r="D72" s="91"/>
      <c r="E72" s="91"/>
      <c r="F72" s="92"/>
      <c r="G72" s="127" t="s">
        <v>241</v>
      </c>
      <c r="H72" s="152"/>
      <c r="I72" s="339">
        <f t="shared" si="16"/>
        <v>0.025</v>
      </c>
      <c r="J72" s="91">
        <v>0</v>
      </c>
      <c r="K72" s="91">
        <v>0</v>
      </c>
      <c r="L72" s="93">
        <f t="shared" si="17"/>
        <v>0</v>
      </c>
      <c r="M72" s="94">
        <f t="shared" si="15"/>
        <v>0</v>
      </c>
      <c r="N72" s="95">
        <f t="shared" si="18"/>
        <v>0</v>
      </c>
      <c r="O72" s="16">
        <f t="shared" si="19"/>
        <v>0</v>
      </c>
    </row>
    <row r="73" spans="2:15" ht="15">
      <c r="B73" s="129"/>
      <c r="C73" s="125"/>
      <c r="D73" s="91"/>
      <c r="E73" s="91"/>
      <c r="F73" s="92"/>
      <c r="G73" s="127" t="s">
        <v>241</v>
      </c>
      <c r="H73" s="152"/>
      <c r="I73" s="339">
        <f t="shared" si="16"/>
        <v>0.025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241</v>
      </c>
      <c r="H74" s="152"/>
      <c r="I74" s="339">
        <f t="shared" si="16"/>
        <v>0.025</v>
      </c>
      <c r="J74" s="131"/>
      <c r="K74" s="131"/>
      <c r="L74" s="93">
        <f t="shared" si="17"/>
        <v>0</v>
      </c>
      <c r="M74" s="94">
        <f t="shared" si="15"/>
        <v>0</v>
      </c>
      <c r="N74" s="95">
        <f t="shared" si="18"/>
        <v>0</v>
      </c>
      <c r="O74" s="16">
        <f t="shared" si="19"/>
        <v>0</v>
      </c>
    </row>
    <row r="75" spans="2:15" ht="15">
      <c r="B75" s="129"/>
      <c r="C75" s="125"/>
      <c r="D75" s="131"/>
      <c r="E75" s="131"/>
      <c r="F75" s="132"/>
      <c r="G75" s="127" t="s">
        <v>241</v>
      </c>
      <c r="H75" s="152"/>
      <c r="I75" s="339">
        <f t="shared" si="16"/>
        <v>0.025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15.4375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7" t="s">
        <v>38</v>
      </c>
      <c r="C79" s="488"/>
      <c r="D79" s="488"/>
      <c r="E79" s="488"/>
      <c r="F79" s="488"/>
      <c r="G79" s="488"/>
      <c r="H79" s="488"/>
      <c r="I79" s="488"/>
      <c r="J79" s="488"/>
      <c r="K79" s="488"/>
      <c r="L79" s="488"/>
      <c r="M79" s="488"/>
      <c r="N79" s="488"/>
      <c r="O79" s="489"/>
    </row>
    <row r="80" spans="2:15" ht="15">
      <c r="B80" s="129" t="s">
        <v>168</v>
      </c>
      <c r="C80" s="125"/>
      <c r="D80" s="91">
        <f>400*$C$6</f>
        <v>800</v>
      </c>
      <c r="E80" s="103"/>
      <c r="F80" s="103"/>
      <c r="G80" s="127" t="s">
        <v>143</v>
      </c>
      <c r="H80" s="153"/>
      <c r="I80" s="339">
        <f>IF(H80&gt;0,H80,IF(G80=$B$15,$C$8/$C$6,IF(G80=$B$16,$C$8/$C$6,IF(G80=$B$17,$C$8/$C$7,IF(G80=$B$18,$C$8/$C$8,0)))))</f>
        <v>0.025</v>
      </c>
      <c r="J80" s="103"/>
      <c r="K80" s="103"/>
      <c r="L80" s="103"/>
      <c r="M80" s="104">
        <f>D80*$C$12</f>
        <v>40</v>
      </c>
      <c r="N80" s="15">
        <f aca="true" t="shared" si="20" ref="N80:N90">SUM(D80+M80)</f>
        <v>840</v>
      </c>
      <c r="O80" s="16">
        <f aca="true" t="shared" si="21" ref="O80:O87">I80*N80</f>
        <v>21</v>
      </c>
    </row>
    <row r="81" spans="2:15" ht="15">
      <c r="B81" s="129" t="s">
        <v>21</v>
      </c>
      <c r="C81" s="125"/>
      <c r="D81" s="91">
        <v>100</v>
      </c>
      <c r="E81" s="103"/>
      <c r="F81" s="103"/>
      <c r="G81" s="127" t="s">
        <v>143</v>
      </c>
      <c r="H81" s="153"/>
      <c r="I81" s="339">
        <f aca="true" t="shared" si="22" ref="I81:I90">IF(H81&gt;0,H81,IF(G81=$B$15,$C$8/$C$6,IF(G81=$B$16,$C$8/$C$6,IF(G81=$B$17,$C$8/$C$7,IF(G81=$B$18,$C$8/$C$8,0)))))</f>
        <v>0.025</v>
      </c>
      <c r="J81" s="103"/>
      <c r="K81" s="103"/>
      <c r="L81" s="103"/>
      <c r="M81" s="104">
        <f aca="true" t="shared" si="23" ref="M81:M90">D81*$C$12</f>
        <v>5</v>
      </c>
      <c r="N81" s="15">
        <f t="shared" si="20"/>
        <v>105</v>
      </c>
      <c r="O81" s="16">
        <f t="shared" si="21"/>
        <v>2.625</v>
      </c>
    </row>
    <row r="82" spans="2:15" ht="15">
      <c r="B82" s="129" t="s">
        <v>101</v>
      </c>
      <c r="C82" s="125"/>
      <c r="D82" s="91">
        <v>840</v>
      </c>
      <c r="E82" s="103"/>
      <c r="F82" s="103"/>
      <c r="G82" s="127" t="s">
        <v>143</v>
      </c>
      <c r="H82" s="153"/>
      <c r="I82" s="339">
        <f t="shared" si="22"/>
        <v>0.025</v>
      </c>
      <c r="J82" s="103"/>
      <c r="K82" s="103"/>
      <c r="L82" s="103"/>
      <c r="M82" s="104">
        <f t="shared" si="23"/>
        <v>42</v>
      </c>
      <c r="N82" s="15">
        <f t="shared" si="20"/>
        <v>882</v>
      </c>
      <c r="O82" s="16">
        <f t="shared" si="21"/>
        <v>22.05</v>
      </c>
    </row>
    <row r="83" spans="2:15" ht="15">
      <c r="B83" s="129" t="s">
        <v>102</v>
      </c>
      <c r="C83" s="125"/>
      <c r="D83" s="105">
        <f>SUM(K32,K53,K65,K76)</f>
        <v>2080</v>
      </c>
      <c r="E83" s="103"/>
      <c r="F83" s="103"/>
      <c r="G83" s="127" t="s">
        <v>143</v>
      </c>
      <c r="H83" s="153"/>
      <c r="I83" s="339">
        <f t="shared" si="22"/>
        <v>0.025</v>
      </c>
      <c r="J83" s="103"/>
      <c r="K83" s="103"/>
      <c r="L83" s="103"/>
      <c r="M83" s="104">
        <f>D83*$C$12</f>
        <v>104</v>
      </c>
      <c r="N83" s="15">
        <f>SUM(D83+M83)</f>
        <v>2184</v>
      </c>
      <c r="O83" s="16">
        <f>I83*N83</f>
        <v>54.6</v>
      </c>
    </row>
    <row r="84" spans="2:15" ht="15">
      <c r="B84" s="129" t="s">
        <v>13</v>
      </c>
      <c r="C84" s="125"/>
      <c r="D84" s="91">
        <v>500</v>
      </c>
      <c r="E84" s="103"/>
      <c r="F84" s="103"/>
      <c r="G84" s="127" t="s">
        <v>143</v>
      </c>
      <c r="H84" s="154"/>
      <c r="I84" s="339">
        <f t="shared" si="22"/>
        <v>0.025</v>
      </c>
      <c r="J84" s="103"/>
      <c r="K84" s="103"/>
      <c r="L84" s="103"/>
      <c r="M84" s="104">
        <f t="shared" si="23"/>
        <v>25</v>
      </c>
      <c r="N84" s="15">
        <f t="shared" si="20"/>
        <v>525</v>
      </c>
      <c r="O84" s="16">
        <f t="shared" si="21"/>
        <v>13.125</v>
      </c>
    </row>
    <row r="85" spans="2:15" ht="15">
      <c r="B85" s="136" t="s">
        <v>171</v>
      </c>
      <c r="C85" s="125"/>
      <c r="D85" s="91">
        <v>960</v>
      </c>
      <c r="E85" s="103"/>
      <c r="F85" s="103"/>
      <c r="G85" s="127" t="s">
        <v>143</v>
      </c>
      <c r="H85" s="153"/>
      <c r="I85" s="339">
        <f t="shared" si="22"/>
        <v>0.025</v>
      </c>
      <c r="J85" s="103"/>
      <c r="K85" s="103"/>
      <c r="L85" s="103"/>
      <c r="M85" s="104">
        <f t="shared" si="23"/>
        <v>48</v>
      </c>
      <c r="N85" s="15">
        <f t="shared" si="20"/>
        <v>1008</v>
      </c>
      <c r="O85" s="16">
        <f t="shared" si="21"/>
        <v>25.200000000000003</v>
      </c>
    </row>
    <row r="86" spans="2:15" s="1" customFormat="1" ht="15">
      <c r="B86" s="136" t="s">
        <v>69</v>
      </c>
      <c r="C86" s="125"/>
      <c r="D86" s="91">
        <v>1000</v>
      </c>
      <c r="E86" s="103"/>
      <c r="F86" s="103"/>
      <c r="G86" s="127" t="s">
        <v>143</v>
      </c>
      <c r="H86" s="153"/>
      <c r="I86" s="339">
        <f t="shared" si="22"/>
        <v>0.025</v>
      </c>
      <c r="J86" s="103"/>
      <c r="K86" s="103"/>
      <c r="L86" s="103"/>
      <c r="M86" s="104">
        <f t="shared" si="23"/>
        <v>50</v>
      </c>
      <c r="N86" s="15">
        <f t="shared" si="20"/>
        <v>1050</v>
      </c>
      <c r="O86" s="16">
        <f t="shared" si="21"/>
        <v>26.25</v>
      </c>
    </row>
    <row r="87" spans="2:15" s="1" customFormat="1" ht="15">
      <c r="B87" s="136" t="s">
        <v>70</v>
      </c>
      <c r="C87" s="125"/>
      <c r="D87" s="91">
        <v>500</v>
      </c>
      <c r="E87" s="103"/>
      <c r="F87" s="103"/>
      <c r="G87" s="127" t="s">
        <v>143</v>
      </c>
      <c r="H87" s="153"/>
      <c r="I87" s="339">
        <f t="shared" si="22"/>
        <v>0.025</v>
      </c>
      <c r="J87" s="103"/>
      <c r="K87" s="103"/>
      <c r="L87" s="103"/>
      <c r="M87" s="104">
        <f t="shared" si="23"/>
        <v>25</v>
      </c>
      <c r="N87" s="15">
        <f t="shared" si="20"/>
        <v>525</v>
      </c>
      <c r="O87" s="16">
        <f t="shared" si="21"/>
        <v>13.125</v>
      </c>
    </row>
    <row r="88" spans="2:15" s="1" customFormat="1" ht="15">
      <c r="B88" s="129" t="s">
        <v>103</v>
      </c>
      <c r="C88" s="125"/>
      <c r="D88" s="91">
        <v>0</v>
      </c>
      <c r="E88" s="103"/>
      <c r="F88" s="103"/>
      <c r="G88" s="127" t="s">
        <v>143</v>
      </c>
      <c r="H88" s="153"/>
      <c r="I88" s="339">
        <f t="shared" si="22"/>
        <v>0.025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0.025</v>
      </c>
      <c r="J89" s="103"/>
      <c r="K89" s="103"/>
      <c r="L89" s="103"/>
      <c r="M89" s="104">
        <f>D89*$C$12</f>
        <v>0</v>
      </c>
      <c r="N89" s="15">
        <f>SUM(D89+M89)</f>
        <v>0</v>
      </c>
      <c r="O89" s="16">
        <f>I89*N89</f>
        <v>0</v>
      </c>
    </row>
    <row r="90" spans="2:15" s="1" customFormat="1" ht="15">
      <c r="B90" s="129"/>
      <c r="C90" s="125"/>
      <c r="D90" s="126"/>
      <c r="E90" s="103"/>
      <c r="F90" s="103"/>
      <c r="G90" s="127" t="s">
        <v>241</v>
      </c>
      <c r="H90" s="153"/>
      <c r="I90" s="339">
        <f t="shared" si="22"/>
        <v>0.025</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177.97500000000002</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48.5</v>
      </c>
    </row>
    <row r="95" spans="2:15" ht="15">
      <c r="B95" s="340" t="s">
        <v>1</v>
      </c>
      <c r="C95" s="8"/>
      <c r="D95" s="321"/>
      <c r="E95" s="102"/>
      <c r="F95" s="102"/>
      <c r="G95" s="102"/>
      <c r="H95" s="102"/>
      <c r="I95" s="322"/>
      <c r="J95" s="8"/>
      <c r="K95" s="9"/>
      <c r="L95" s="8"/>
      <c r="M95" s="8"/>
      <c r="N95" s="118"/>
      <c r="O95" s="115">
        <f>SUMPRODUCT(J23:J31,I23:I31)</f>
        <v>37.125</v>
      </c>
    </row>
    <row r="96" spans="2:15" ht="15">
      <c r="B96" s="340" t="s">
        <v>110</v>
      </c>
      <c r="C96" s="8"/>
      <c r="D96" s="321"/>
      <c r="E96" s="102"/>
      <c r="F96" s="102"/>
      <c r="G96" s="102"/>
      <c r="H96" s="102"/>
      <c r="I96" s="322"/>
      <c r="J96" s="8"/>
      <c r="K96" s="9"/>
      <c r="L96" s="8"/>
      <c r="M96" s="8"/>
      <c r="N96" s="118"/>
      <c r="O96" s="116">
        <f>SUMPRODUCT(J35:J52,I35:I52)</f>
        <v>1.375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10</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27" sqref="E2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0" t="s">
        <v>29</v>
      </c>
      <c r="B2" s="478" t="str">
        <f>'Fixed Costs &amp; Overhead Charges'!B2:O2</f>
        <v>Radish Enterprise Budget, 0.05 Acre, Southwest British Columbia, Canada </v>
      </c>
      <c r="C2" s="479"/>
      <c r="D2" s="479"/>
      <c r="E2" s="479"/>
      <c r="F2" s="480"/>
    </row>
    <row r="3" spans="1:6" ht="19.5" thickBot="1">
      <c r="A3" s="500"/>
      <c r="B3" s="496" t="s">
        <v>114</v>
      </c>
      <c r="C3" s="497"/>
      <c r="D3" s="497"/>
      <c r="E3" s="498"/>
      <c r="F3" s="499"/>
    </row>
    <row r="4" spans="1:6" ht="15">
      <c r="A4" s="500"/>
      <c r="B4" s="37" t="s">
        <v>52</v>
      </c>
      <c r="C4" s="342" t="str">
        <f>'Fixed Costs &amp; Overhead Charges'!C5</f>
        <v>Radish</v>
      </c>
      <c r="D4" s="343"/>
      <c r="E4" s="26"/>
      <c r="F4" s="27"/>
    </row>
    <row r="5" spans="1:6" ht="15">
      <c r="A5" s="500"/>
      <c r="B5" s="38" t="s">
        <v>112</v>
      </c>
      <c r="C5" s="344">
        <f>'Fixed Costs &amp; Overhead Charges'!C8</f>
        <v>0.05</v>
      </c>
      <c r="D5" s="345" t="str">
        <f>'Fixed Costs &amp; Overhead Charges'!D8</f>
        <v>Acre</v>
      </c>
      <c r="E5" s="26"/>
      <c r="F5" s="27"/>
    </row>
    <row r="6" spans="1:6" ht="15.75" thickBot="1">
      <c r="A6" s="500"/>
      <c r="B6" s="37" t="s">
        <v>54</v>
      </c>
      <c r="C6" s="346">
        <f>'Fixed Costs &amp; Overhead Charges'!C13</f>
        <v>2</v>
      </c>
      <c r="D6" s="347" t="str">
        <f>'Fixed Costs &amp; Overhead Charges'!D13</f>
        <v>Months</v>
      </c>
      <c r="E6" s="26"/>
      <c r="F6" s="27"/>
    </row>
    <row r="7" spans="1:6" ht="18" customHeight="1" thickBot="1">
      <c r="A7" s="500"/>
      <c r="B7" s="348" t="s">
        <v>55</v>
      </c>
      <c r="C7" s="349" t="s">
        <v>17</v>
      </c>
      <c r="D7" s="350" t="s">
        <v>12</v>
      </c>
      <c r="E7" s="351" t="s">
        <v>181</v>
      </c>
      <c r="F7" s="184" t="s">
        <v>76</v>
      </c>
    </row>
    <row r="8" spans="1:6" ht="15">
      <c r="A8" s="500"/>
      <c r="B8" s="22" t="s">
        <v>19</v>
      </c>
      <c r="C8" s="39"/>
      <c r="D8" s="40"/>
      <c r="E8" s="41"/>
      <c r="F8" s="42"/>
    </row>
    <row r="9" spans="1:6" ht="15">
      <c r="A9" s="500"/>
      <c r="B9" s="17" t="s">
        <v>172</v>
      </c>
      <c r="C9" s="43">
        <v>56</v>
      </c>
      <c r="D9" s="159" t="s">
        <v>231</v>
      </c>
      <c r="E9" s="13">
        <v>1.8</v>
      </c>
      <c r="F9" s="16">
        <f>C9*E9</f>
        <v>100.8</v>
      </c>
    </row>
    <row r="10" spans="1:6" ht="15">
      <c r="A10" s="500"/>
      <c r="B10" s="17"/>
      <c r="C10" s="43"/>
      <c r="D10" s="24"/>
      <c r="E10" s="155"/>
      <c r="F10" s="16">
        <f>C10*E10</f>
        <v>0</v>
      </c>
    </row>
    <row r="11" spans="1:6" ht="15">
      <c r="A11" s="500"/>
      <c r="B11" s="17"/>
      <c r="C11" s="43"/>
      <c r="D11" s="24"/>
      <c r="E11" s="13"/>
      <c r="F11" s="16">
        <f>C11*E11</f>
        <v>0</v>
      </c>
    </row>
    <row r="12" spans="1:6" ht="15">
      <c r="A12" s="500"/>
      <c r="B12" s="17"/>
      <c r="C12" s="79"/>
      <c r="D12" s="80"/>
      <c r="E12" s="71"/>
      <c r="F12" s="16">
        <f>C12*E12</f>
        <v>0</v>
      </c>
    </row>
    <row r="13" spans="1:6" ht="15">
      <c r="A13" s="500"/>
      <c r="B13" s="57" t="s">
        <v>27</v>
      </c>
      <c r="C13" s="50"/>
      <c r="D13" s="51"/>
      <c r="E13" s="52"/>
      <c r="F13" s="21">
        <f>SUM(F9:F12)</f>
        <v>100.8</v>
      </c>
    </row>
    <row r="14" spans="1:6" ht="15">
      <c r="A14" s="500"/>
      <c r="B14" s="44" t="s">
        <v>20</v>
      </c>
      <c r="C14" s="45"/>
      <c r="D14" s="46"/>
      <c r="E14" s="47"/>
      <c r="F14" s="48"/>
    </row>
    <row r="15" spans="1:6" ht="15">
      <c r="A15" s="500"/>
      <c r="B15" s="17" t="s">
        <v>220</v>
      </c>
      <c r="C15" s="43">
        <v>400</v>
      </c>
      <c r="D15" s="24" t="s">
        <v>153</v>
      </c>
      <c r="E15" s="13">
        <v>0.1</v>
      </c>
      <c r="F15" s="16">
        <f aca="true" t="shared" si="0" ref="F15:F22">C15*E15</f>
        <v>40</v>
      </c>
    </row>
    <row r="16" spans="1:6" ht="15">
      <c r="A16" s="500"/>
      <c r="B16" s="17" t="s">
        <v>22</v>
      </c>
      <c r="C16" s="43">
        <v>100</v>
      </c>
      <c r="D16" s="24" t="s">
        <v>153</v>
      </c>
      <c r="E16" s="13">
        <v>0.3</v>
      </c>
      <c r="F16" s="16">
        <f t="shared" si="0"/>
        <v>30</v>
      </c>
    </row>
    <row r="17" spans="1:6" ht="15">
      <c r="A17" s="500"/>
      <c r="B17" s="17"/>
      <c r="C17" s="43"/>
      <c r="D17" s="24"/>
      <c r="E17" s="13"/>
      <c r="F17" s="16">
        <f t="shared" si="0"/>
        <v>0</v>
      </c>
    </row>
    <row r="18" spans="1:6" ht="15">
      <c r="A18" s="500"/>
      <c r="B18" s="17"/>
      <c r="C18" s="43"/>
      <c r="D18" s="24"/>
      <c r="E18" s="13"/>
      <c r="F18" s="16">
        <f t="shared" si="0"/>
        <v>0</v>
      </c>
    </row>
    <row r="19" spans="1:6" ht="15">
      <c r="A19" s="500"/>
      <c r="B19" s="17"/>
      <c r="C19" s="43"/>
      <c r="D19" s="24"/>
      <c r="E19" s="13"/>
      <c r="F19" s="16">
        <f t="shared" si="0"/>
        <v>0</v>
      </c>
    </row>
    <row r="20" spans="1:6" ht="15">
      <c r="A20" s="500"/>
      <c r="B20" s="17"/>
      <c r="C20" s="43"/>
      <c r="D20" s="24"/>
      <c r="E20" s="13"/>
      <c r="F20" s="16">
        <f t="shared" si="0"/>
        <v>0</v>
      </c>
    </row>
    <row r="21" spans="1:6" ht="15">
      <c r="A21" s="500"/>
      <c r="B21" s="17"/>
      <c r="C21" s="43"/>
      <c r="D21" s="24"/>
      <c r="E21" s="13"/>
      <c r="F21" s="16">
        <f t="shared" si="0"/>
        <v>0</v>
      </c>
    </row>
    <row r="22" spans="1:6" ht="15">
      <c r="A22" s="500"/>
      <c r="B22" s="17"/>
      <c r="C22" s="79"/>
      <c r="D22" s="80"/>
      <c r="E22" s="71"/>
      <c r="F22" s="75">
        <f t="shared" si="0"/>
        <v>0</v>
      </c>
    </row>
    <row r="23" spans="1:6" ht="15">
      <c r="A23" s="500"/>
      <c r="B23" s="57" t="s">
        <v>27</v>
      </c>
      <c r="C23" s="50"/>
      <c r="D23" s="51"/>
      <c r="E23" s="52"/>
      <c r="F23" s="21">
        <f>SUM(F15:F22)</f>
        <v>70</v>
      </c>
    </row>
    <row r="24" spans="1:6" ht="15">
      <c r="A24" s="500"/>
      <c r="B24" s="44" t="s">
        <v>48</v>
      </c>
      <c r="C24" s="45"/>
      <c r="D24" s="46"/>
      <c r="E24" s="47"/>
      <c r="F24" s="48"/>
    </row>
    <row r="25" spans="1:6" ht="15">
      <c r="A25" s="500"/>
      <c r="B25" s="17" t="s">
        <v>232</v>
      </c>
      <c r="C25" s="43">
        <v>1</v>
      </c>
      <c r="D25" s="24"/>
      <c r="E25" s="13">
        <v>180</v>
      </c>
      <c r="F25" s="16">
        <f aca="true" t="shared" si="1" ref="F25:F32">C25*E25</f>
        <v>180</v>
      </c>
    </row>
    <row r="26" spans="1:6" ht="15">
      <c r="A26" s="500"/>
      <c r="B26" s="17" t="s">
        <v>233</v>
      </c>
      <c r="C26" s="43">
        <v>1</v>
      </c>
      <c r="D26" s="24"/>
      <c r="E26" s="13">
        <v>10</v>
      </c>
      <c r="F26" s="16">
        <f t="shared" si="1"/>
        <v>10</v>
      </c>
    </row>
    <row r="27" spans="1:6" ht="15">
      <c r="A27" s="500"/>
      <c r="B27" s="17"/>
      <c r="C27" s="43"/>
      <c r="D27" s="24"/>
      <c r="E27" s="13"/>
      <c r="F27" s="16">
        <f t="shared" si="1"/>
        <v>0</v>
      </c>
    </row>
    <row r="28" spans="1:6" ht="15">
      <c r="A28" s="500"/>
      <c r="B28" s="17"/>
      <c r="C28" s="43"/>
      <c r="D28" s="24"/>
      <c r="E28" s="13"/>
      <c r="F28" s="16">
        <f t="shared" si="1"/>
        <v>0</v>
      </c>
    </row>
    <row r="29" spans="1:6" ht="15">
      <c r="A29" s="500"/>
      <c r="B29" s="17"/>
      <c r="C29" s="43"/>
      <c r="D29" s="24"/>
      <c r="E29" s="13"/>
      <c r="F29" s="16">
        <f t="shared" si="1"/>
        <v>0</v>
      </c>
    </row>
    <row r="30" spans="1:6" ht="15">
      <c r="A30" s="500"/>
      <c r="B30" s="17"/>
      <c r="C30" s="43"/>
      <c r="D30" s="24"/>
      <c r="E30" s="13"/>
      <c r="F30" s="16">
        <f t="shared" si="1"/>
        <v>0</v>
      </c>
    </row>
    <row r="31" spans="1:6" ht="15">
      <c r="A31" s="500"/>
      <c r="B31" s="17"/>
      <c r="C31" s="43"/>
      <c r="D31" s="24"/>
      <c r="E31" s="13"/>
      <c r="F31" s="16">
        <f t="shared" si="1"/>
        <v>0</v>
      </c>
    </row>
    <row r="32" spans="1:6" ht="15">
      <c r="A32" s="500"/>
      <c r="B32" s="17"/>
      <c r="C32" s="81"/>
      <c r="D32" s="82"/>
      <c r="E32" s="83"/>
      <c r="F32" s="75">
        <f t="shared" si="1"/>
        <v>0</v>
      </c>
    </row>
    <row r="33" spans="1:6" ht="15.75" thickBot="1">
      <c r="A33" s="500"/>
      <c r="B33" s="84" t="s">
        <v>27</v>
      </c>
      <c r="C33" s="54"/>
      <c r="D33" s="55"/>
      <c r="E33" s="56"/>
      <c r="F33" s="49">
        <f>SUM(F25:F32)</f>
        <v>190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A28">
      <selection activeCell="G43" sqref="G43"/>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1" t="s">
        <v>8</v>
      </c>
    </row>
    <row r="2" spans="1:13" ht="19.5" thickBot="1">
      <c r="A2" s="501"/>
      <c r="B2" s="478" t="str">
        <f>'Fixed Costs &amp; Overhead Charges'!B2:O2</f>
        <v>Radish Enterprise Budget, 0.05 Acre, Southwest British Columbia, Canada </v>
      </c>
      <c r="C2" s="479"/>
      <c r="D2" s="479"/>
      <c r="E2" s="479"/>
      <c r="F2" s="479"/>
      <c r="G2" s="479"/>
      <c r="H2" s="479"/>
      <c r="I2" s="479"/>
      <c r="J2" s="479"/>
      <c r="K2" s="479"/>
      <c r="L2" s="479"/>
      <c r="M2" s="480"/>
    </row>
    <row r="3" spans="1:13" ht="19.5" thickBot="1">
      <c r="A3" s="501"/>
      <c r="B3" s="478" t="s">
        <v>120</v>
      </c>
      <c r="C3" s="479"/>
      <c r="D3" s="479"/>
      <c r="E3" s="479"/>
      <c r="F3" s="479"/>
      <c r="G3" s="479"/>
      <c r="H3" s="479"/>
      <c r="I3" s="479"/>
      <c r="J3" s="479"/>
      <c r="K3" s="479"/>
      <c r="L3" s="479"/>
      <c r="M3" s="480"/>
    </row>
    <row r="4" spans="1:13" ht="15">
      <c r="A4" s="501"/>
      <c r="B4" s="358" t="str">
        <f>'Fixed Costs &amp; Overhead Charges'!B5</f>
        <v>Crop</v>
      </c>
      <c r="C4" s="359" t="str">
        <f>'Fixed Costs &amp; Overhead Charges'!C5</f>
        <v>Radish</v>
      </c>
      <c r="D4" s="360"/>
      <c r="E4" s="144"/>
      <c r="F4" s="144"/>
      <c r="G4" s="144"/>
      <c r="H4" s="144"/>
      <c r="I4" s="144"/>
      <c r="J4" s="144"/>
      <c r="K4" s="144"/>
      <c r="L4" s="144"/>
      <c r="M4" s="145"/>
    </row>
    <row r="5" spans="1:13" ht="15">
      <c r="A5" s="501"/>
      <c r="B5" s="361" t="str">
        <f>'Fixed Costs &amp; Overhead Charges'!B8</f>
        <v>Radish cultivated area</v>
      </c>
      <c r="C5" s="362">
        <f>'Fixed Costs &amp; Overhead Charges'!C8</f>
        <v>0.05</v>
      </c>
      <c r="D5" s="363" t="str">
        <f>'Fixed Costs &amp; Overhead Charges'!D8</f>
        <v>Acre</v>
      </c>
      <c r="E5" s="144"/>
      <c r="F5" s="144"/>
      <c r="G5" s="144"/>
      <c r="H5" s="144"/>
      <c r="I5" s="144"/>
      <c r="J5" s="144"/>
      <c r="K5" s="144"/>
      <c r="L5" s="144"/>
      <c r="M5" s="145"/>
    </row>
    <row r="6" spans="1:13" ht="15.75" thickBot="1">
      <c r="A6" s="501"/>
      <c r="B6" s="364" t="str">
        <f>'Fixed Costs &amp; Overhead Charges'!B13</f>
        <v>Growing season </v>
      </c>
      <c r="C6" s="365">
        <f>'Fixed Costs &amp; Overhead Charges'!C13</f>
        <v>2</v>
      </c>
      <c r="D6" s="366" t="str">
        <f>'Fixed Costs &amp; Overhead Charges'!D13</f>
        <v>Months</v>
      </c>
      <c r="E6" s="144"/>
      <c r="F6" s="144"/>
      <c r="G6" s="144"/>
      <c r="H6" s="144"/>
      <c r="I6" s="144"/>
      <c r="J6" s="144"/>
      <c r="K6" s="144"/>
      <c r="L6" s="144"/>
      <c r="M6" s="145"/>
    </row>
    <row r="7" spans="1:13" s="5" customFormat="1" ht="60">
      <c r="A7" s="501"/>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1"/>
      <c r="B8" s="502" t="s">
        <v>5</v>
      </c>
      <c r="C8" s="503"/>
      <c r="D8" s="503"/>
      <c r="E8" s="503"/>
      <c r="F8" s="503"/>
      <c r="G8" s="503"/>
      <c r="H8" s="503"/>
      <c r="I8" s="503"/>
      <c r="J8" s="503"/>
      <c r="K8" s="503"/>
      <c r="L8" s="503"/>
      <c r="M8" s="504"/>
    </row>
    <row r="9" spans="1:13" ht="15">
      <c r="A9" s="501"/>
      <c r="B9" s="156" t="s">
        <v>222</v>
      </c>
      <c r="C9" s="157"/>
      <c r="D9" s="157"/>
      <c r="E9" s="157"/>
      <c r="F9" s="157"/>
      <c r="G9" s="157"/>
      <c r="H9" s="157"/>
      <c r="I9" s="157"/>
      <c r="J9" s="157"/>
      <c r="K9" s="157"/>
      <c r="L9" s="157"/>
      <c r="M9" s="158">
        <v>12</v>
      </c>
    </row>
    <row r="10" spans="1:13" ht="15">
      <c r="A10" s="501"/>
      <c r="B10" s="17" t="s">
        <v>221</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1"/>
      <c r="B11" s="17" t="s">
        <v>223</v>
      </c>
      <c r="C11" s="12">
        <v>2.5</v>
      </c>
      <c r="D11" s="12">
        <v>2.5</v>
      </c>
      <c r="E11" s="13"/>
      <c r="F11" s="18">
        <f>IF(C11&gt;0,$F$10,0)</f>
        <v>12</v>
      </c>
      <c r="G11" s="18">
        <f>IF(D11&gt;0,$G$10,0)</f>
        <v>15</v>
      </c>
      <c r="H11" s="18">
        <f>IF(D11&gt;0,$H$10,0)</f>
        <v>25</v>
      </c>
      <c r="I11" s="14">
        <f>((((0.52*0.6)+0.77)-(0.04*SQRT(738*0.6+173)))*(0.6*H11))*3.78541</f>
        <v>5.075512894300047</v>
      </c>
      <c r="J11" s="18">
        <f>IF(D11&gt;0,$J$10,0)</f>
        <v>1.3</v>
      </c>
      <c r="K11" s="15">
        <f>C11*F11+D11*G11</f>
        <v>67.5</v>
      </c>
      <c r="L11" s="15">
        <f>(D11*I11*J11)+E11</f>
        <v>16.495416906475153</v>
      </c>
      <c r="M11" s="16">
        <f>K11+L11</f>
        <v>83.99541690647516</v>
      </c>
    </row>
    <row r="12" spans="1:13" ht="15">
      <c r="A12" s="501"/>
      <c r="B12" s="17" t="s">
        <v>235</v>
      </c>
      <c r="C12" s="12">
        <v>2</v>
      </c>
      <c r="D12" s="12">
        <v>1</v>
      </c>
      <c r="E12" s="13"/>
      <c r="F12" s="18">
        <f>IF(C12&gt;0,$F$10,0)</f>
        <v>12</v>
      </c>
      <c r="G12" s="18">
        <f>IF(D12&gt;0,$G$10,0)</f>
        <v>15</v>
      </c>
      <c r="H12" s="18">
        <f>IF(D12&gt;0,$H$10,0)</f>
        <v>25</v>
      </c>
      <c r="I12" s="14">
        <f>((((0.52*0.6)+0.77)-(0.04*SQRT(738*0.6+173)))*(0.6*H12))*3.78541</f>
        <v>5.075512894300047</v>
      </c>
      <c r="J12" s="18">
        <f>IF(D12&gt;0,$J$10,0)</f>
        <v>1.3</v>
      </c>
      <c r="K12" s="15">
        <f>C12*F12+D12*G12</f>
        <v>39</v>
      </c>
      <c r="L12" s="15">
        <f>(D12*I12*J12)+E12</f>
        <v>6.598166762590061</v>
      </c>
      <c r="M12" s="16">
        <f>K12+L12</f>
        <v>45.59816676259006</v>
      </c>
    </row>
    <row r="13" spans="1:13" ht="15">
      <c r="A13" s="501"/>
      <c r="B13" s="57" t="s">
        <v>27</v>
      </c>
      <c r="C13" s="51"/>
      <c r="D13" s="51"/>
      <c r="E13" s="52"/>
      <c r="F13" s="68"/>
      <c r="G13" s="68"/>
      <c r="H13" s="68"/>
      <c r="I13" s="69"/>
      <c r="J13" s="68"/>
      <c r="K13" s="52">
        <f>SUM(K10:K12)</f>
        <v>106.5</v>
      </c>
      <c r="L13" s="52">
        <f>SUM(L10:L12)</f>
        <v>23.093583669065215</v>
      </c>
      <c r="M13" s="352">
        <f>SUM(M9:M12)</f>
        <v>141.59358366906523</v>
      </c>
    </row>
    <row r="14" spans="1:13" ht="15">
      <c r="A14" s="501"/>
      <c r="B14" s="502" t="s">
        <v>6</v>
      </c>
      <c r="C14" s="503"/>
      <c r="D14" s="503"/>
      <c r="E14" s="503"/>
      <c r="F14" s="503"/>
      <c r="G14" s="503"/>
      <c r="H14" s="503"/>
      <c r="I14" s="503"/>
      <c r="J14" s="503"/>
      <c r="K14" s="503"/>
      <c r="L14" s="503"/>
      <c r="M14" s="504"/>
    </row>
    <row r="15" spans="1:13" ht="15">
      <c r="A15" s="501"/>
      <c r="B15" s="17" t="s">
        <v>80</v>
      </c>
      <c r="C15" s="12">
        <v>2</v>
      </c>
      <c r="D15" s="12">
        <v>0</v>
      </c>
      <c r="E15" s="13">
        <v>0</v>
      </c>
      <c r="F15" s="18">
        <f>IF(C15&gt;0,$F$10,0)</f>
        <v>12</v>
      </c>
      <c r="G15" s="18">
        <f>IF(D15&gt;0,$G$10,0)</f>
        <v>0</v>
      </c>
      <c r="H15" s="18">
        <f>IF(D15&gt;0,$H$10,0)</f>
        <v>0</v>
      </c>
      <c r="I15" s="14">
        <f>((((0.52*0.6)+0.77)-(0.04*SQRT(738*0.6+173)))*(0.6*H15))*3.78541</f>
        <v>0</v>
      </c>
      <c r="J15" s="18">
        <f>IF(D15&gt;0,$J$10,0)</f>
        <v>0</v>
      </c>
      <c r="K15" s="15">
        <f>C15*F15+D15*G15</f>
        <v>24</v>
      </c>
      <c r="L15" s="15">
        <f>(D15*I15*J15)+E15</f>
        <v>0</v>
      </c>
      <c r="M15" s="16">
        <f>K15+L15</f>
        <v>24</v>
      </c>
    </row>
    <row r="16" spans="1:13" ht="15">
      <c r="A16" s="501"/>
      <c r="B16" s="17" t="s">
        <v>195</v>
      </c>
      <c r="C16" s="12">
        <v>0</v>
      </c>
      <c r="D16" s="12"/>
      <c r="E16" s="13"/>
      <c r="F16" s="18">
        <f>IF(C16&gt;0,$F$10,0)</f>
        <v>0</v>
      </c>
      <c r="G16" s="18">
        <f>IF(D16&gt;0,$G$10,0)</f>
        <v>0</v>
      </c>
      <c r="H16" s="18">
        <f>IF(D16&gt;0,$H$10,0)</f>
        <v>0</v>
      </c>
      <c r="I16" s="14">
        <f>((((0.52*0.6)+0.77)-(0.04*SQRT(738*0.6+173)))*(0.6*H16))*3.78541</f>
        <v>0</v>
      </c>
      <c r="J16" s="18">
        <f>IF(D16&gt;0,$J$10,0)</f>
        <v>0</v>
      </c>
      <c r="K16" s="15">
        <f>C16*F16+D16*G16</f>
        <v>0</v>
      </c>
      <c r="L16" s="15">
        <f>(D16*I16*J16)+E16</f>
        <v>0</v>
      </c>
      <c r="M16" s="16">
        <f>K16+L16</f>
        <v>0</v>
      </c>
    </row>
    <row r="17" spans="1:13" ht="15">
      <c r="A17" s="501"/>
      <c r="B17" s="57" t="s">
        <v>27</v>
      </c>
      <c r="C17" s="51"/>
      <c r="D17" s="51"/>
      <c r="E17" s="52"/>
      <c r="F17" s="68"/>
      <c r="G17" s="68"/>
      <c r="H17" s="68"/>
      <c r="I17" s="69"/>
      <c r="J17" s="68"/>
      <c r="K17" s="52">
        <f>SUM(K15:K16)</f>
        <v>24</v>
      </c>
      <c r="L17" s="52">
        <f>SUM(L15:L16)</f>
        <v>0</v>
      </c>
      <c r="M17" s="352">
        <f>SUM(M15:M16)</f>
        <v>24</v>
      </c>
    </row>
    <row r="18" spans="1:13" ht="15">
      <c r="A18" s="501"/>
      <c r="B18" s="502" t="s">
        <v>7</v>
      </c>
      <c r="C18" s="503"/>
      <c r="D18" s="503"/>
      <c r="E18" s="503"/>
      <c r="F18" s="503"/>
      <c r="G18" s="503"/>
      <c r="H18" s="503"/>
      <c r="I18" s="503"/>
      <c r="J18" s="503"/>
      <c r="K18" s="503"/>
      <c r="L18" s="503"/>
      <c r="M18" s="504"/>
    </row>
    <row r="19" spans="1:13" ht="15">
      <c r="A19" s="501"/>
      <c r="B19" s="17" t="s">
        <v>196</v>
      </c>
      <c r="C19" s="12">
        <v>12</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144</v>
      </c>
      <c r="L19" s="15">
        <f aca="true" t="shared" si="5" ref="L19:L25">(D19*I19*J19)+E19</f>
        <v>0</v>
      </c>
      <c r="M19" s="16">
        <f aca="true" t="shared" si="6" ref="M19:M25">K19+L19</f>
        <v>144</v>
      </c>
    </row>
    <row r="20" spans="1:13" ht="15">
      <c r="A20" s="501"/>
      <c r="B20" s="17" t="s">
        <v>203</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1"/>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1"/>
      <c r="B22" s="17" t="s">
        <v>197</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1"/>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1"/>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1"/>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1"/>
      <c r="B26" s="57" t="s">
        <v>27</v>
      </c>
      <c r="C26" s="51"/>
      <c r="D26" s="51"/>
      <c r="E26" s="52"/>
      <c r="F26" s="51"/>
      <c r="G26" s="51"/>
      <c r="H26" s="68"/>
      <c r="I26" s="69"/>
      <c r="J26" s="68"/>
      <c r="K26" s="52">
        <f>SUM(K19:K25)</f>
        <v>144</v>
      </c>
      <c r="L26" s="52">
        <f>SUM(L19:L25)</f>
        <v>0</v>
      </c>
      <c r="M26" s="352">
        <f>SUM(M19:M25)</f>
        <v>144</v>
      </c>
    </row>
    <row r="27" spans="1:13" ht="15">
      <c r="A27" s="501"/>
      <c r="B27" s="505" t="s">
        <v>50</v>
      </c>
      <c r="C27" s="506"/>
      <c r="D27" s="506"/>
      <c r="E27" s="506"/>
      <c r="F27" s="506"/>
      <c r="G27" s="506"/>
      <c r="H27" s="506"/>
      <c r="I27" s="506"/>
      <c r="J27" s="506"/>
      <c r="K27" s="506"/>
      <c r="L27" s="506"/>
      <c r="M27" s="507"/>
    </row>
    <row r="28" spans="1:13" ht="15">
      <c r="A28" s="501"/>
      <c r="B28" s="17" t="s">
        <v>234</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1"/>
      <c r="B29" s="17" t="s">
        <v>204</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1"/>
      <c r="B30" s="17" t="s">
        <v>92</v>
      </c>
      <c r="C30" s="12"/>
      <c r="D30" s="12"/>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1"/>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1"/>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1"/>
      <c r="B33" s="57" t="s">
        <v>27</v>
      </c>
      <c r="C33" s="51"/>
      <c r="D33" s="51"/>
      <c r="E33" s="52"/>
      <c r="F33" s="51"/>
      <c r="G33" s="51"/>
      <c r="H33" s="51"/>
      <c r="I33" s="353"/>
      <c r="J33" s="51"/>
      <c r="K33" s="52">
        <f>SUM(K28:K32)</f>
        <v>6</v>
      </c>
      <c r="L33" s="52">
        <f>SUM(L28:L32)</f>
        <v>0</v>
      </c>
      <c r="M33" s="352">
        <f>SUM(M28:M32)</f>
        <v>6</v>
      </c>
    </row>
    <row r="34" spans="1:13" ht="15">
      <c r="A34" s="501"/>
      <c r="B34" s="508" t="s">
        <v>66</v>
      </c>
      <c r="C34" s="509"/>
      <c r="D34" s="509"/>
      <c r="E34" s="509"/>
      <c r="F34" s="509"/>
      <c r="G34" s="509"/>
      <c r="H34" s="509"/>
      <c r="I34" s="509"/>
      <c r="J34" s="509"/>
      <c r="K34" s="509"/>
      <c r="L34" s="509"/>
      <c r="M34" s="510"/>
    </row>
    <row r="35" spans="1:13" ht="15">
      <c r="A35" s="501"/>
      <c r="B35" s="17" t="s">
        <v>205</v>
      </c>
      <c r="C35" s="12">
        <v>72</v>
      </c>
      <c r="D35" s="12">
        <v>0</v>
      </c>
      <c r="E35" s="13"/>
      <c r="F35" s="18">
        <f t="shared" si="8"/>
        <v>12</v>
      </c>
      <c r="G35" s="18">
        <f t="shared" si="9"/>
        <v>0</v>
      </c>
      <c r="H35" s="18">
        <f aca="true" t="shared" si="15" ref="H35:H40">IF(D35&gt;0,$H$10,0)</f>
        <v>0</v>
      </c>
      <c r="I35" s="14">
        <f t="shared" si="10"/>
        <v>0</v>
      </c>
      <c r="J35" s="18">
        <f t="shared" si="11"/>
        <v>0</v>
      </c>
      <c r="K35" s="15">
        <f t="shared" si="12"/>
        <v>864</v>
      </c>
      <c r="L35" s="15">
        <f t="shared" si="13"/>
        <v>0</v>
      </c>
      <c r="M35" s="16">
        <f t="shared" si="14"/>
        <v>864</v>
      </c>
    </row>
    <row r="36" spans="1:13" ht="15">
      <c r="A36" s="501"/>
      <c r="B36" s="17" t="s">
        <v>51</v>
      </c>
      <c r="C36" s="12">
        <v>36</v>
      </c>
      <c r="D36" s="12">
        <v>0</v>
      </c>
      <c r="E36" s="13"/>
      <c r="F36" s="18">
        <f t="shared" si="8"/>
        <v>12</v>
      </c>
      <c r="G36" s="18">
        <f>IF(D36&gt;0,$G$10,0)</f>
        <v>0</v>
      </c>
      <c r="H36" s="18">
        <f t="shared" si="15"/>
        <v>0</v>
      </c>
      <c r="I36" s="14">
        <f t="shared" si="10"/>
        <v>0</v>
      </c>
      <c r="J36" s="18">
        <f t="shared" si="11"/>
        <v>0</v>
      </c>
      <c r="K36" s="15">
        <f t="shared" si="12"/>
        <v>432</v>
      </c>
      <c r="L36" s="15">
        <f t="shared" si="13"/>
        <v>0</v>
      </c>
      <c r="M36" s="16">
        <f t="shared" si="14"/>
        <v>432</v>
      </c>
    </row>
    <row r="37" spans="1:13" ht="15">
      <c r="A37" s="501"/>
      <c r="B37" s="17" t="s">
        <v>198</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1"/>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1"/>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1"/>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1"/>
      <c r="B41" s="57" t="s">
        <v>27</v>
      </c>
      <c r="C41" s="51"/>
      <c r="D41" s="51"/>
      <c r="E41" s="51"/>
      <c r="F41" s="51"/>
      <c r="G41" s="51"/>
      <c r="H41" s="51"/>
      <c r="I41" s="353"/>
      <c r="J41" s="51"/>
      <c r="K41" s="52">
        <f>SUM(K35:K40)</f>
        <v>1296</v>
      </c>
      <c r="L41" s="52">
        <f>SUM(L35:L40)</f>
        <v>0</v>
      </c>
      <c r="M41" s="352">
        <f>SUM(M35:M40)</f>
        <v>1296</v>
      </c>
    </row>
    <row r="42" spans="1:13" ht="15">
      <c r="A42" s="501"/>
      <c r="B42" s="19" t="s">
        <v>15</v>
      </c>
      <c r="C42" s="20" t="s">
        <v>39</v>
      </c>
      <c r="D42" s="20" t="s">
        <v>40</v>
      </c>
      <c r="E42" s="20"/>
      <c r="F42" s="20" t="s">
        <v>42</v>
      </c>
      <c r="G42" s="20" t="s">
        <v>41</v>
      </c>
      <c r="H42" s="24"/>
      <c r="I42" s="25"/>
      <c r="J42" s="24"/>
      <c r="K42" s="23"/>
      <c r="L42" s="23"/>
      <c r="M42" s="76"/>
    </row>
    <row r="43" spans="1:13" ht="15">
      <c r="A43" s="501"/>
      <c r="B43" s="17" t="s">
        <v>9</v>
      </c>
      <c r="C43" s="12"/>
      <c r="D43" s="12"/>
      <c r="E43" s="23"/>
      <c r="F43" s="12"/>
      <c r="G43" s="12"/>
      <c r="H43" s="24"/>
      <c r="I43" s="25"/>
      <c r="J43" s="24"/>
      <c r="K43" s="15">
        <f aca="true" t="shared" si="16" ref="K43:K48">C43*F43+D43*G43</f>
        <v>0</v>
      </c>
      <c r="L43" s="23"/>
      <c r="M43" s="16">
        <f aca="true" t="shared" si="17" ref="M43:M48">K43+L43</f>
        <v>0</v>
      </c>
    </row>
    <row r="44" spans="1:13" ht="15">
      <c r="A44" s="501"/>
      <c r="B44" s="17" t="s">
        <v>10</v>
      </c>
      <c r="C44" s="12"/>
      <c r="D44" s="12"/>
      <c r="E44" s="23"/>
      <c r="F44" s="12"/>
      <c r="G44" s="12"/>
      <c r="H44" s="24"/>
      <c r="I44" s="25"/>
      <c r="J44" s="24"/>
      <c r="K44" s="15">
        <f t="shared" si="16"/>
        <v>0</v>
      </c>
      <c r="L44" s="23"/>
      <c r="M44" s="16">
        <f t="shared" si="17"/>
        <v>0</v>
      </c>
    </row>
    <row r="45" spans="1:13" ht="15">
      <c r="A45" s="501"/>
      <c r="B45" s="17" t="s">
        <v>11</v>
      </c>
      <c r="C45" s="12"/>
      <c r="D45" s="12"/>
      <c r="E45" s="23"/>
      <c r="F45" s="12"/>
      <c r="G45" s="12"/>
      <c r="H45" s="24"/>
      <c r="I45" s="25"/>
      <c r="J45" s="24"/>
      <c r="K45" s="15">
        <f t="shared" si="16"/>
        <v>0</v>
      </c>
      <c r="L45" s="23"/>
      <c r="M45" s="16">
        <f t="shared" si="17"/>
        <v>0</v>
      </c>
    </row>
    <row r="46" spans="1:13" ht="15">
      <c r="A46" s="501"/>
      <c r="B46" s="17"/>
      <c r="C46" s="12"/>
      <c r="D46" s="12"/>
      <c r="E46" s="23"/>
      <c r="F46" s="12"/>
      <c r="G46" s="12"/>
      <c r="H46" s="24"/>
      <c r="I46" s="25"/>
      <c r="J46" s="24"/>
      <c r="K46" s="15">
        <f t="shared" si="16"/>
        <v>0</v>
      </c>
      <c r="L46" s="23"/>
      <c r="M46" s="16">
        <f t="shared" si="17"/>
        <v>0</v>
      </c>
    </row>
    <row r="47" spans="1:13" ht="15">
      <c r="A47" s="501"/>
      <c r="B47" s="17"/>
      <c r="C47" s="12"/>
      <c r="D47" s="12"/>
      <c r="E47" s="23"/>
      <c r="F47" s="12"/>
      <c r="G47" s="12"/>
      <c r="H47" s="24"/>
      <c r="I47" s="25"/>
      <c r="J47" s="24"/>
      <c r="K47" s="15">
        <f t="shared" si="16"/>
        <v>0</v>
      </c>
      <c r="L47" s="23"/>
      <c r="M47" s="16">
        <f t="shared" si="17"/>
        <v>0</v>
      </c>
    </row>
    <row r="48" spans="1:13" ht="15">
      <c r="A48" s="501"/>
      <c r="B48" s="17"/>
      <c r="C48" s="12"/>
      <c r="D48" s="12"/>
      <c r="E48" s="23"/>
      <c r="F48" s="12"/>
      <c r="G48" s="12"/>
      <c r="H48" s="24"/>
      <c r="I48" s="25"/>
      <c r="J48" s="24"/>
      <c r="K48" s="15">
        <f t="shared" si="16"/>
        <v>0</v>
      </c>
      <c r="L48" s="23"/>
      <c r="M48" s="16">
        <f t="shared" si="17"/>
        <v>0</v>
      </c>
    </row>
    <row r="49" spans="1:13" ht="15.75" thickBot="1">
      <c r="A49" s="501"/>
      <c r="B49" s="57" t="s">
        <v>27</v>
      </c>
      <c r="C49" s="51"/>
      <c r="D49" s="51"/>
      <c r="E49" s="52"/>
      <c r="F49" s="68"/>
      <c r="G49" s="68"/>
      <c r="H49" s="68"/>
      <c r="I49" s="69"/>
      <c r="J49" s="68"/>
      <c r="K49" s="52">
        <f>SUM(K43:K48)</f>
        <v>0</v>
      </c>
      <c r="L49" s="52"/>
      <c r="M49" s="352">
        <f>SUM(M43:M48)</f>
        <v>0</v>
      </c>
    </row>
    <row r="50" spans="1:13" ht="15.75" thickBot="1">
      <c r="A50" s="501"/>
      <c r="B50" s="58" t="s">
        <v>135</v>
      </c>
      <c r="C50" s="59"/>
      <c r="D50" s="59"/>
      <c r="E50" s="60"/>
      <c r="F50" s="61"/>
      <c r="G50" s="61"/>
      <c r="H50" s="61"/>
      <c r="I50" s="62"/>
      <c r="J50" s="61"/>
      <c r="K50" s="60"/>
      <c r="L50" s="354">
        <f>SUM(L13,L26,L17,L33,L41)</f>
        <v>23.093583669065215</v>
      </c>
      <c r="M50" s="355"/>
    </row>
    <row r="51" spans="1:13" ht="15.75" thickBot="1">
      <c r="A51" s="501"/>
      <c r="B51" s="63" t="s">
        <v>136</v>
      </c>
      <c r="C51" s="64"/>
      <c r="D51" s="64"/>
      <c r="E51" s="64"/>
      <c r="F51" s="64"/>
      <c r="G51" s="64"/>
      <c r="H51" s="64"/>
      <c r="I51" s="64"/>
      <c r="J51" s="64"/>
      <c r="K51" s="356">
        <f>SUM(K13,K17,K26,K33,K41,K49)</f>
        <v>1576.5</v>
      </c>
      <c r="L51" s="65"/>
      <c r="M51" s="66"/>
    </row>
    <row r="52" spans="1:13" ht="15.75" thickBot="1">
      <c r="A52" s="501"/>
      <c r="B52" s="53" t="s">
        <v>137</v>
      </c>
      <c r="C52" s="67"/>
      <c r="D52" s="67"/>
      <c r="E52" s="67"/>
      <c r="F52" s="67"/>
      <c r="G52" s="67"/>
      <c r="H52" s="67"/>
      <c r="I52" s="67"/>
      <c r="J52" s="67"/>
      <c r="K52" s="67"/>
      <c r="L52" s="67"/>
      <c r="M52" s="357">
        <f>SUM(M13,M17,M33,M26,M41,M49)</f>
        <v>1611.593583669065</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6">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8" t="str">
        <f>'Fixed Costs &amp; Overhead Charges'!B2:O2</f>
        <v>Radish Enterprise Budget, 0.05 Acre, Southwest British Columbia, Canada </v>
      </c>
      <c r="C2" s="479"/>
      <c r="D2" s="479"/>
      <c r="E2" s="479"/>
      <c r="F2" s="479"/>
      <c r="G2" s="479"/>
      <c r="H2" s="479"/>
      <c r="I2" s="479"/>
      <c r="J2" s="479"/>
      <c r="K2" s="479"/>
      <c r="L2" s="480"/>
    </row>
    <row r="3" spans="2:12" ht="19.5" thickBot="1">
      <c r="B3" s="518" t="s">
        <v>129</v>
      </c>
      <c r="C3" s="519"/>
      <c r="D3" s="519"/>
      <c r="E3" s="519"/>
      <c r="F3" s="519"/>
      <c r="G3" s="519"/>
      <c r="H3" s="519"/>
      <c r="I3" s="519"/>
      <c r="J3" s="519"/>
      <c r="K3" s="519"/>
      <c r="L3" s="520"/>
    </row>
    <row r="4" spans="2:12" ht="32.25" customHeight="1" thickBot="1">
      <c r="B4" s="396"/>
      <c r="C4" s="521" t="s">
        <v>61</v>
      </c>
      <c r="D4" s="522"/>
      <c r="E4" s="523"/>
      <c r="F4" s="521" t="s">
        <v>62</v>
      </c>
      <c r="G4" s="522"/>
      <c r="H4" s="523"/>
      <c r="I4" s="524" t="s">
        <v>130</v>
      </c>
      <c r="J4" s="525"/>
      <c r="K4" s="526"/>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8">
        <f>C6*D6</f>
        <v>8000</v>
      </c>
      <c r="F6" s="371">
        <v>200</v>
      </c>
      <c r="G6" s="372">
        <v>8</v>
      </c>
      <c r="H6" s="408">
        <f>F6*G6</f>
        <v>1600</v>
      </c>
      <c r="I6" s="371">
        <v>0</v>
      </c>
      <c r="J6" s="372">
        <v>0</v>
      </c>
      <c r="K6" s="408">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3">
        <f>SUM(C6:C17)</f>
        <v>304.25</v>
      </c>
      <c r="D18" s="404"/>
      <c r="E18" s="409">
        <f>SUM(E6:E17)</f>
        <v>12170</v>
      </c>
      <c r="F18" s="403">
        <f>SUM(F6:F17)</f>
        <v>304.25</v>
      </c>
      <c r="G18" s="404"/>
      <c r="H18" s="409">
        <f>SUM(H6:H17)</f>
        <v>2434</v>
      </c>
      <c r="I18" s="403">
        <f>SUM(I6:I17)</f>
        <v>0</v>
      </c>
      <c r="J18" s="404"/>
      <c r="K18" s="409">
        <f>SUM(K6:K17)</f>
        <v>0</v>
      </c>
      <c r="L18" s="415">
        <f>SUM(E18+H18+K18)</f>
        <v>14604</v>
      </c>
    </row>
    <row r="19" spans="2:12" ht="15">
      <c r="B19" s="7" t="str">
        <f>"Average annual sales of "&amp;'Fixed Costs &amp; Overhead Charges'!C5</f>
        <v>Average annual sales of Radish</v>
      </c>
      <c r="C19" s="375">
        <f>L36</f>
        <v>4800</v>
      </c>
      <c r="D19" s="376">
        <v>40</v>
      </c>
      <c r="E19" s="410">
        <f>C19*D19</f>
        <v>192000</v>
      </c>
      <c r="F19" s="377">
        <v>100</v>
      </c>
      <c r="G19" s="376">
        <v>8</v>
      </c>
      <c r="H19" s="410">
        <f>F19*G19</f>
        <v>800</v>
      </c>
      <c r="I19" s="377">
        <v>0</v>
      </c>
      <c r="J19" s="376">
        <v>0</v>
      </c>
      <c r="K19" s="410">
        <f t="shared" si="3"/>
        <v>0</v>
      </c>
      <c r="L19" s="416">
        <f t="shared" si="0"/>
        <v>192800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Radish sales as a % of total sales</v>
      </c>
      <c r="C21" s="406">
        <f>IF(C20&gt;0,C19/C20,0)</f>
        <v>0.04520412487639497</v>
      </c>
      <c r="D21" s="18"/>
      <c r="E21" s="411">
        <f>IF(E20&gt;0,E19/E20,0)</f>
        <v>0.04520412487639497</v>
      </c>
      <c r="F21" s="406">
        <f>IF(F20&gt;0,F19/F20,0)</f>
        <v>0.025</v>
      </c>
      <c r="G21" s="18"/>
      <c r="H21" s="412">
        <f>H19/H20</f>
        <v>0.025</v>
      </c>
      <c r="I21" s="406">
        <f>IF(I20&gt;0,I19/I20,0)</f>
        <v>0</v>
      </c>
      <c r="J21" s="18"/>
      <c r="K21" s="411">
        <f>IF(K20&gt;0,K19/K20,0)</f>
        <v>0</v>
      </c>
      <c r="L21" s="417">
        <f>IF(L20&gt;0,L19/L20,0)</f>
        <v>0.0450530448193672</v>
      </c>
    </row>
    <row r="22" spans="2:12" ht="15.75" thickBot="1">
      <c r="B22" s="405" t="str">
        <f>'Fixed Costs &amp; Overhead Charges'!C5&amp;" marketing cost"</f>
        <v>Radish marketing cost</v>
      </c>
      <c r="C22" s="341"/>
      <c r="D22" s="407"/>
      <c r="E22" s="49">
        <f>E21*E18</f>
        <v>550.1341997457267</v>
      </c>
      <c r="F22" s="341"/>
      <c r="G22" s="407"/>
      <c r="H22" s="49">
        <f>H21*H18</f>
        <v>60.85</v>
      </c>
      <c r="I22" s="341"/>
      <c r="J22" s="407"/>
      <c r="K22" s="49">
        <f>K21*K18</f>
        <v>0</v>
      </c>
      <c r="L22" s="415">
        <f>L21*L18</f>
        <v>657.9546665420386</v>
      </c>
    </row>
    <row r="23" ht="15"/>
    <row r="24" ht="15"/>
    <row r="25" ht="15.75" thickBot="1"/>
    <row r="26" spans="2:13" ht="19.5" thickBot="1">
      <c r="B26" s="511" t="s">
        <v>242</v>
      </c>
      <c r="C26" s="512"/>
      <c r="D26" s="512"/>
      <c r="E26" s="512"/>
      <c r="F26" s="512"/>
      <c r="G26" s="512"/>
      <c r="H26" s="479"/>
      <c r="I26" s="479"/>
      <c r="J26" s="479"/>
      <c r="K26" s="479"/>
      <c r="L26" s="479"/>
      <c r="M26" s="480"/>
    </row>
    <row r="27" spans="2:13" ht="15.75" thickBot="1">
      <c r="B27" s="513" t="s">
        <v>184</v>
      </c>
      <c r="C27" s="514"/>
      <c r="D27" s="515" t="s">
        <v>18</v>
      </c>
      <c r="E27" s="516"/>
      <c r="F27" s="516"/>
      <c r="G27" s="517"/>
      <c r="H27" s="516" t="s">
        <v>183</v>
      </c>
      <c r="I27" s="516"/>
      <c r="J27" s="516"/>
      <c r="K27" s="401"/>
      <c r="L27" s="515" t="s">
        <v>182</v>
      </c>
      <c r="M27" s="517"/>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 t="shared" si="4"/>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243</v>
      </c>
      <c r="C41" s="384">
        <v>0.05</v>
      </c>
      <c r="D41" s="383" t="s">
        <v>152</v>
      </c>
      <c r="E41" s="385">
        <v>3</v>
      </c>
      <c r="F41" s="385">
        <v>1</v>
      </c>
      <c r="G41" s="386">
        <v>2</v>
      </c>
      <c r="H41" s="383" t="s">
        <v>153</v>
      </c>
      <c r="I41" s="387">
        <v>1500</v>
      </c>
      <c r="J41" s="387">
        <v>1000</v>
      </c>
      <c r="K41" s="388">
        <v>1200</v>
      </c>
      <c r="L41" s="426">
        <f t="shared" si="4"/>
        <v>2400</v>
      </c>
      <c r="M41" s="389">
        <f t="shared" si="5"/>
        <v>0.022602062438197484</v>
      </c>
    </row>
    <row r="42" spans="1:13" ht="15">
      <c r="A42" s="3">
        <v>14</v>
      </c>
      <c r="B42" s="383" t="s">
        <v>244</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245</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8" t="str">
        <f>'Fixed Costs &amp; Overhead Charges'!B2:O2</f>
        <v>Radish Enterprise Budget, 0.05 Acre, Southwest British Columbia, Canada </v>
      </c>
      <c r="C2" s="479"/>
      <c r="D2" s="479"/>
      <c r="E2" s="479"/>
      <c r="F2" s="480"/>
    </row>
    <row r="3" spans="1:6" ht="21" customHeight="1" thickBot="1">
      <c r="A3" s="501" t="s">
        <v>30</v>
      </c>
      <c r="B3" s="496" t="s">
        <v>131</v>
      </c>
      <c r="C3" s="498"/>
      <c r="D3" s="498"/>
      <c r="E3" s="498"/>
      <c r="F3" s="499"/>
    </row>
    <row r="4" spans="1:6" ht="15">
      <c r="A4" s="501"/>
      <c r="B4" s="429" t="str">
        <f>'Fixed Costs &amp; Overhead Charges'!B5</f>
        <v>Crop</v>
      </c>
      <c r="C4" s="430" t="str">
        <f>'Fixed Costs &amp; Overhead Charges'!C5</f>
        <v>Radish</v>
      </c>
      <c r="D4" s="431"/>
      <c r="E4" s="146"/>
      <c r="F4" s="147"/>
    </row>
    <row r="5" spans="1:6" ht="15">
      <c r="A5" s="501"/>
      <c r="B5" s="432" t="str">
        <f>'Fixed Costs &amp; Overhead Charges'!B8</f>
        <v>Radish cultivated area</v>
      </c>
      <c r="C5" s="433">
        <f>'Fixed Costs &amp; Overhead Charges'!C8</f>
        <v>0.05</v>
      </c>
      <c r="D5" s="434" t="str">
        <f>'Fixed Costs &amp; Overhead Charges'!D8</f>
        <v>Acre</v>
      </c>
      <c r="E5" s="148"/>
      <c r="F5" s="149"/>
    </row>
    <row r="6" spans="1:6" ht="15">
      <c r="A6" s="501"/>
      <c r="B6" s="435" t="s">
        <v>55</v>
      </c>
      <c r="C6" s="436" t="s">
        <v>87</v>
      </c>
      <c r="D6" s="436" t="s">
        <v>12</v>
      </c>
      <c r="E6" s="436" t="s">
        <v>86</v>
      </c>
      <c r="F6" s="437" t="s">
        <v>56</v>
      </c>
    </row>
    <row r="7" spans="1:6" ht="15">
      <c r="A7" s="501"/>
      <c r="B7" s="143" t="str">
        <f>'Fixed Costs &amp; Overhead Charges'!C5</f>
        <v>Radish</v>
      </c>
      <c r="C7" s="139">
        <v>1600</v>
      </c>
      <c r="D7" s="130" t="s">
        <v>162</v>
      </c>
      <c r="E7" s="31">
        <v>3</v>
      </c>
      <c r="F7" s="32">
        <f aca="true" t="shared" si="0" ref="F7:F12">C7*E7</f>
        <v>4800</v>
      </c>
    </row>
    <row r="8" spans="1:6" ht="15">
      <c r="A8" s="501"/>
      <c r="B8" s="130"/>
      <c r="C8" s="140"/>
      <c r="D8" s="130"/>
      <c r="E8" s="33"/>
      <c r="F8" s="34">
        <f t="shared" si="0"/>
        <v>0</v>
      </c>
    </row>
    <row r="9" spans="1:6" ht="15">
      <c r="A9" s="501"/>
      <c r="B9" s="130"/>
      <c r="C9" s="140"/>
      <c r="D9" s="130"/>
      <c r="E9" s="33"/>
      <c r="F9" s="34">
        <f t="shared" si="0"/>
        <v>0</v>
      </c>
    </row>
    <row r="10" spans="1:6" ht="15">
      <c r="A10" s="501"/>
      <c r="B10" s="130"/>
      <c r="C10" s="140"/>
      <c r="D10" s="130"/>
      <c r="E10" s="33"/>
      <c r="F10" s="34">
        <f t="shared" si="0"/>
        <v>0</v>
      </c>
    </row>
    <row r="11" spans="1:6" ht="15">
      <c r="A11" s="501"/>
      <c r="B11" s="130"/>
      <c r="C11" s="140"/>
      <c r="D11" s="130"/>
      <c r="E11" s="33"/>
      <c r="F11" s="34">
        <f t="shared" si="0"/>
        <v>0</v>
      </c>
    </row>
    <row r="12" spans="1:6" ht="15.75" thickBot="1">
      <c r="A12" s="501"/>
      <c r="B12" s="130"/>
      <c r="C12" s="141"/>
      <c r="D12" s="130"/>
      <c r="E12" s="35"/>
      <c r="F12" s="36">
        <f t="shared" si="0"/>
        <v>0</v>
      </c>
    </row>
    <row r="13" spans="1:6" ht="15.75" thickBot="1">
      <c r="A13" s="501"/>
      <c r="B13" s="53" t="s">
        <v>27</v>
      </c>
      <c r="C13" s="77"/>
      <c r="D13" s="142"/>
      <c r="E13" s="78"/>
      <c r="F13" s="428">
        <f>SUM(F7:F12)</f>
        <v>4800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G25" sqref="G25"/>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11" t="str">
        <f>'Fixed Costs &amp; Overhead Charges'!B2:O2</f>
        <v>Radish Enterprise Budget, 0.05 Acre, Southwest British Columbia, Canada </v>
      </c>
      <c r="C2" s="512"/>
      <c r="D2" s="512"/>
      <c r="E2" s="512"/>
      <c r="F2" s="512"/>
      <c r="G2" s="512"/>
      <c r="H2" s="512"/>
      <c r="I2" s="512"/>
      <c r="J2" s="512"/>
      <c r="K2" s="544"/>
    </row>
    <row r="3" spans="2:11" ht="18.75">
      <c r="B3" s="535" t="s">
        <v>132</v>
      </c>
      <c r="C3" s="536"/>
      <c r="D3" s="536"/>
      <c r="E3" s="536"/>
      <c r="F3" s="536"/>
      <c r="G3" s="536"/>
      <c r="H3" s="536"/>
      <c r="I3" s="536"/>
      <c r="J3" s="536"/>
      <c r="K3" s="537"/>
    </row>
    <row r="4" spans="2:11" ht="15.75">
      <c r="B4" s="538" t="s">
        <v>133</v>
      </c>
      <c r="C4" s="539"/>
      <c r="D4" s="539"/>
      <c r="E4" s="539"/>
      <c r="F4" s="539"/>
      <c r="G4" s="539"/>
      <c r="H4" s="539"/>
      <c r="I4" s="539"/>
      <c r="J4" s="539"/>
      <c r="K4" s="540"/>
    </row>
    <row r="5" spans="2:11" ht="16.5" thickBot="1">
      <c r="B5" s="541" t="str">
        <f>"( "&amp;"$ per "&amp;'Fixed Costs &amp; Overhead Charges'!$C$8&amp;" "&amp;'Fixed Costs &amp; Overhead Charges'!$D$8&amp;" )"</f>
        <v>( $ per 0.05 Acre )</v>
      </c>
      <c r="C5" s="542"/>
      <c r="D5" s="542"/>
      <c r="E5" s="542"/>
      <c r="F5" s="542"/>
      <c r="G5" s="542"/>
      <c r="H5" s="542"/>
      <c r="I5" s="542"/>
      <c r="J5" s="542"/>
      <c r="K5" s="543"/>
    </row>
    <row r="6" spans="2:11" ht="15.75">
      <c r="B6" s="438"/>
      <c r="C6" s="439"/>
      <c r="D6" s="440"/>
      <c r="E6" s="531" t="s">
        <v>71</v>
      </c>
      <c r="F6" s="532"/>
      <c r="G6" s="533"/>
      <c r="H6" s="160"/>
      <c r="I6" s="531" t="s">
        <v>72</v>
      </c>
      <c r="J6" s="532"/>
      <c r="K6" s="534"/>
    </row>
    <row r="7" spans="2:11" ht="15">
      <c r="B7" s="438"/>
      <c r="C7" s="439"/>
      <c r="D7" s="440"/>
      <c r="E7" s="441">
        <v>0.3</v>
      </c>
      <c r="F7" s="442">
        <v>0.2</v>
      </c>
      <c r="G7" s="442">
        <v>0.1</v>
      </c>
      <c r="H7" s="443" t="s">
        <v>18</v>
      </c>
      <c r="I7" s="442">
        <v>0.1</v>
      </c>
      <c r="J7" s="442">
        <v>0.2</v>
      </c>
      <c r="K7" s="444">
        <v>0.3</v>
      </c>
    </row>
    <row r="8" spans="2:11" ht="15">
      <c r="B8" s="445"/>
      <c r="C8" s="446"/>
      <c r="D8" s="447"/>
      <c r="E8" s="455">
        <f>ROUND((H8*(1-E7)),2)</f>
        <v>2.1</v>
      </c>
      <c r="F8" s="456">
        <f>ROUND((H8*(1-F7)),2)</f>
        <v>2.4</v>
      </c>
      <c r="G8" s="456">
        <f>ROUND((H8*(1-G7)),2)</f>
        <v>2.7</v>
      </c>
      <c r="H8" s="457">
        <f>'ENTERPRISE BUDGET'!E15</f>
        <v>3</v>
      </c>
      <c r="I8" s="456">
        <f>ROUND(($H$8*(1+I$7)),2)</f>
        <v>3.3</v>
      </c>
      <c r="J8" s="456">
        <f>ROUND(($H$8*(1+J$7)),2)</f>
        <v>3.6</v>
      </c>
      <c r="K8" s="458">
        <f>ROUND(($H$8*(1+K$7)),2)</f>
        <v>3.9</v>
      </c>
    </row>
    <row r="9" spans="2:11" ht="15">
      <c r="B9" s="545" t="s">
        <v>73</v>
      </c>
      <c r="C9" s="448">
        <v>0.3</v>
      </c>
      <c r="D9" s="464">
        <f>ROUND($D$12*(1-$C9),2)</f>
        <v>1120</v>
      </c>
      <c r="E9" s="459">
        <f>($D9*E$8)-'ENTERPRISE BUDGET'!$F$158</f>
        <v>-713.0306967416795</v>
      </c>
      <c r="F9" s="459">
        <f>($D9*F$8)-'ENTERPRISE BUDGET'!$F$158</f>
        <v>-377.03069674167955</v>
      </c>
      <c r="G9" s="459">
        <f>($D9*G$8)-'ENTERPRISE BUDGET'!$F$158</f>
        <v>-41.03069674167955</v>
      </c>
      <c r="H9" s="459">
        <f>($D9*H$8)-'ENTERPRISE BUDGET'!$F$158</f>
        <v>294.96930325832045</v>
      </c>
      <c r="I9" s="459">
        <f>($D9*I$8)-'ENTERPRISE BUDGET'!$F$158</f>
        <v>630.9693032583205</v>
      </c>
      <c r="J9" s="459">
        <f>($D9*J$8)-'ENTERPRISE BUDGET'!$F$158</f>
        <v>966.9693032583205</v>
      </c>
      <c r="K9" s="460">
        <f>($D9*K$8)-'ENTERPRISE BUDGET'!$F$158</f>
        <v>1302.9693032583205</v>
      </c>
    </row>
    <row r="10" spans="2:11" ht="15">
      <c r="B10" s="546"/>
      <c r="C10" s="449">
        <v>0.2</v>
      </c>
      <c r="D10" s="465">
        <f>ROUND($D$12*(1-$C10),2)</f>
        <v>1280</v>
      </c>
      <c r="E10" s="459">
        <f>($D10*E$8)-'ENTERPRISE BUDGET'!$F$158</f>
        <v>-377.03069674167955</v>
      </c>
      <c r="F10" s="459">
        <f>($D10*F$8)-'ENTERPRISE BUDGET'!$F$158</f>
        <v>6.969303258320451</v>
      </c>
      <c r="G10" s="459">
        <f>($D10*G$8)-'ENTERPRISE BUDGET'!$F$158</f>
        <v>390.96930325832045</v>
      </c>
      <c r="H10" s="459">
        <f>($D10*H$8)-'ENTERPRISE BUDGET'!$F$158</f>
        <v>774.9693032583205</v>
      </c>
      <c r="I10" s="459">
        <f>($D10*I$8)-'ENTERPRISE BUDGET'!$F$158</f>
        <v>1158.9693032583205</v>
      </c>
      <c r="J10" s="459">
        <f>($D10*J$8)-'ENTERPRISE BUDGET'!$F$158</f>
        <v>1542.9693032583205</v>
      </c>
      <c r="K10" s="460">
        <f>($D10*K$8)-'ENTERPRISE BUDGET'!$F$158</f>
        <v>1926.9693032583205</v>
      </c>
    </row>
    <row r="11" spans="2:11" ht="15">
      <c r="B11" s="547"/>
      <c r="C11" s="449">
        <v>0.1</v>
      </c>
      <c r="D11" s="465">
        <f>ROUND($D$12*(1-$C11),2)</f>
        <v>1440</v>
      </c>
      <c r="E11" s="459">
        <f>($D11*E$8)-'ENTERPRISE BUDGET'!$F$158</f>
        <v>-41.03069674167955</v>
      </c>
      <c r="F11" s="459">
        <f>($D11*F$8)-'ENTERPRISE BUDGET'!$F$158</f>
        <v>390.96930325832045</v>
      </c>
      <c r="G11" s="459">
        <f>($D11*G$8)-'ENTERPRISE BUDGET'!$F$158</f>
        <v>822.9693032583209</v>
      </c>
      <c r="H11" s="459">
        <f>($D11*H$8)-'ENTERPRISE BUDGET'!$F$158</f>
        <v>1254.9693032583205</v>
      </c>
      <c r="I11" s="459">
        <f>($D11*I$8)-'ENTERPRISE BUDGET'!$F$158</f>
        <v>1686.9693032583205</v>
      </c>
      <c r="J11" s="459">
        <f>($D11*J$8)-'ENTERPRISE BUDGET'!$F$158</f>
        <v>2118.9693032583205</v>
      </c>
      <c r="K11" s="460">
        <f>($D11*K$8)-'ENTERPRISE BUDGET'!$F$158</f>
        <v>2550.9693032583205</v>
      </c>
    </row>
    <row r="12" spans="2:11" ht="15">
      <c r="B12" s="7"/>
      <c r="C12" s="450" t="s">
        <v>74</v>
      </c>
      <c r="D12" s="466">
        <f>'ENTERPRISE BUDGET'!C15</f>
        <v>1600</v>
      </c>
      <c r="E12" s="459">
        <f>($D12*E$8)-'ENTERPRISE BUDGET'!$F$158</f>
        <v>294.96930325832045</v>
      </c>
      <c r="F12" s="459">
        <f>($D12*F$8)-'ENTERPRISE BUDGET'!$F$158</f>
        <v>774.9693032583205</v>
      </c>
      <c r="G12" s="459">
        <f>($D12*G$8)-'ENTERPRISE BUDGET'!$F$158</f>
        <v>1254.9693032583205</v>
      </c>
      <c r="H12" s="461">
        <f>($D12*H$8)-'ENTERPRISE BUDGET'!$F$158</f>
        <v>1734.9693032583205</v>
      </c>
      <c r="I12" s="459">
        <f>($D12*I$8)-'ENTERPRISE BUDGET'!$F$158</f>
        <v>2214.9693032583205</v>
      </c>
      <c r="J12" s="459">
        <f>($D12*J$8)-'ENTERPRISE BUDGET'!$F$158</f>
        <v>2694.9693032583205</v>
      </c>
      <c r="K12" s="460">
        <f>($D12*K$8)-'ENTERPRISE BUDGET'!$F$158</f>
        <v>3174.9693032583205</v>
      </c>
    </row>
    <row r="13" spans="2:11" ht="15">
      <c r="B13" s="527" t="s">
        <v>75</v>
      </c>
      <c r="C13" s="442">
        <v>0.1</v>
      </c>
      <c r="D13" s="465">
        <f>ROUND($D$12*(1+$C13),2)</f>
        <v>1760</v>
      </c>
      <c r="E13" s="459">
        <f>($D13*E$8)-'ENTERPRISE BUDGET'!$F$158</f>
        <v>630.9693032583205</v>
      </c>
      <c r="F13" s="459">
        <f>($D13*F$8)-'ENTERPRISE BUDGET'!$F$158</f>
        <v>1158.9693032583205</v>
      </c>
      <c r="G13" s="459">
        <f>($D13*G$8)-'ENTERPRISE BUDGET'!$F$158</f>
        <v>1686.9693032583205</v>
      </c>
      <c r="H13" s="459">
        <f>($D13*H$8)-'ENTERPRISE BUDGET'!$F$158</f>
        <v>2214.9693032583205</v>
      </c>
      <c r="I13" s="459">
        <f>($D13*I$8)-'ENTERPRISE BUDGET'!$F$158</f>
        <v>2742.9693032583205</v>
      </c>
      <c r="J13" s="459">
        <f>($D13*J$8)-'ENTERPRISE BUDGET'!$F$158</f>
        <v>3270.9693032583205</v>
      </c>
      <c r="K13" s="460">
        <f>($D13*K$8)-'ENTERPRISE BUDGET'!$F$158</f>
        <v>3798.9693032583205</v>
      </c>
    </row>
    <row r="14" spans="2:11" ht="15">
      <c r="B14" s="528"/>
      <c r="C14" s="442">
        <v>0.2</v>
      </c>
      <c r="D14" s="465">
        <f>ROUND($D$12*(1+$C14),2)</f>
        <v>1920</v>
      </c>
      <c r="E14" s="459">
        <f>($D14*E$8)-'ENTERPRISE BUDGET'!$F$158</f>
        <v>966.9693032583205</v>
      </c>
      <c r="F14" s="459">
        <f>($D14*F$8)-'ENTERPRISE BUDGET'!$F$158</f>
        <v>1542.9693032583205</v>
      </c>
      <c r="G14" s="459">
        <f>($D14*G$8)-'ENTERPRISE BUDGET'!$F$158</f>
        <v>2118.9693032583205</v>
      </c>
      <c r="H14" s="459">
        <f>($D14*H$8)-'ENTERPRISE BUDGET'!$F$158</f>
        <v>2694.9693032583205</v>
      </c>
      <c r="I14" s="459">
        <f>($D14*I$8)-'ENTERPRISE BUDGET'!$F$158</f>
        <v>3270.9693032583205</v>
      </c>
      <c r="J14" s="459">
        <f>($D14*J$8)-'ENTERPRISE BUDGET'!$F$158</f>
        <v>3846.9693032583205</v>
      </c>
      <c r="K14" s="460">
        <f>($D14*K$8)-'ENTERPRISE BUDGET'!$F$158</f>
        <v>4422.96930325832</v>
      </c>
    </row>
    <row r="15" spans="2:11" ht="15.75" thickBot="1">
      <c r="B15" s="530"/>
      <c r="C15" s="451">
        <v>0.3</v>
      </c>
      <c r="D15" s="467">
        <f>ROUND($D$12*(1+$C15),2)</f>
        <v>2080</v>
      </c>
      <c r="E15" s="462">
        <f>($D15*E$8)-'ENTERPRISE BUDGET'!$F$158</f>
        <v>1302.9693032583205</v>
      </c>
      <c r="F15" s="462">
        <f>($D15*F$8)-'ENTERPRISE BUDGET'!$F$158</f>
        <v>1926.9693032583205</v>
      </c>
      <c r="G15" s="462">
        <f>($D15*G$8)-'ENTERPRISE BUDGET'!$F$158</f>
        <v>2550.9693032583205</v>
      </c>
      <c r="H15" s="462">
        <f>($D15*H$8)-'ENTERPRISE BUDGET'!$F$158</f>
        <v>3174.9693032583205</v>
      </c>
      <c r="I15" s="462">
        <f>($D15*I$8)-'ENTERPRISE BUDGET'!$F$158</f>
        <v>3798.9693032583205</v>
      </c>
      <c r="J15" s="462">
        <f>($D15*J$8)-'ENTERPRISE BUDGET'!$F$158</f>
        <v>4422.96930325832</v>
      </c>
      <c r="K15" s="463">
        <f>($D15*K$8)-'ENTERPRISE BUDGET'!$F$158</f>
        <v>5046.96930325832</v>
      </c>
    </row>
    <row r="18" spans="10:11" ht="15.75" thickBot="1">
      <c r="J18" s="452"/>
      <c r="K18" s="452"/>
    </row>
    <row r="19" spans="2:11" ht="18.75">
      <c r="B19" s="511" t="str">
        <f>'Fixed Costs &amp; Overhead Charges'!B2:O2</f>
        <v>Radish Enterprise Budget, 0.05 Acre, Southwest British Columbia, Canada </v>
      </c>
      <c r="C19" s="512"/>
      <c r="D19" s="512"/>
      <c r="E19" s="512"/>
      <c r="F19" s="512"/>
      <c r="G19" s="512"/>
      <c r="H19" s="512"/>
      <c r="I19" s="512"/>
      <c r="J19" s="512"/>
      <c r="K19" s="544"/>
    </row>
    <row r="20" spans="2:11" ht="18.75">
      <c r="B20" s="535" t="s">
        <v>134</v>
      </c>
      <c r="C20" s="536"/>
      <c r="D20" s="536"/>
      <c r="E20" s="536"/>
      <c r="F20" s="536"/>
      <c r="G20" s="536"/>
      <c r="H20" s="536"/>
      <c r="I20" s="536"/>
      <c r="J20" s="536"/>
      <c r="K20" s="537"/>
    </row>
    <row r="21" spans="2:11" ht="15.75">
      <c r="B21" s="538" t="s">
        <v>178</v>
      </c>
      <c r="C21" s="539"/>
      <c r="D21" s="539"/>
      <c r="E21" s="539"/>
      <c r="F21" s="539"/>
      <c r="G21" s="539"/>
      <c r="H21" s="539"/>
      <c r="I21" s="539"/>
      <c r="J21" s="539"/>
      <c r="K21" s="540"/>
    </row>
    <row r="22" spans="2:11" ht="16.5" thickBot="1">
      <c r="B22" s="541" t="str">
        <f>"( "&amp;"$ per "&amp;'Fixed Costs &amp; Overhead Charges'!$C$8&amp;" "&amp;'Fixed Costs &amp; Overhead Charges'!$D$8&amp;" )"</f>
        <v>( $ per 0.05 Acre )</v>
      </c>
      <c r="C22" s="542"/>
      <c r="D22" s="542"/>
      <c r="E22" s="542"/>
      <c r="F22" s="542"/>
      <c r="G22" s="542"/>
      <c r="H22" s="542"/>
      <c r="I22" s="542"/>
      <c r="J22" s="542"/>
      <c r="K22" s="543"/>
    </row>
    <row r="23" spans="2:11" ht="15.75">
      <c r="B23" s="438"/>
      <c r="C23" s="439"/>
      <c r="D23" s="453"/>
      <c r="E23" s="531" t="s">
        <v>71</v>
      </c>
      <c r="F23" s="532"/>
      <c r="G23" s="533"/>
      <c r="H23" s="160"/>
      <c r="I23" s="531" t="s">
        <v>72</v>
      </c>
      <c r="J23" s="532"/>
      <c r="K23" s="534"/>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2.1</v>
      </c>
      <c r="F25" s="456">
        <f>ROUND(($H$25*(1-F24)),2)</f>
        <v>2.4</v>
      </c>
      <c r="G25" s="456">
        <f>ROUND(($H$25*(1-G24)),2)</f>
        <v>2.7</v>
      </c>
      <c r="H25" s="457">
        <f>'ENTERPRISE BUDGET'!E15</f>
        <v>3</v>
      </c>
      <c r="I25" s="456">
        <f>ROUND(($H$25*(1+I$24)),2)</f>
        <v>3.3</v>
      </c>
      <c r="J25" s="456">
        <f>ROUND(($H$25*(1+J$24)),2)</f>
        <v>3.6</v>
      </c>
      <c r="K25" s="458">
        <f>ROUND(($H$25*(1+K$24)),2)</f>
        <v>3.9</v>
      </c>
    </row>
    <row r="26" spans="2:11" ht="15">
      <c r="B26" s="527" t="s">
        <v>73</v>
      </c>
      <c r="C26" s="454">
        <v>0.3</v>
      </c>
      <c r="D26" s="472">
        <f>ROUND(($D$29*(1-$C26)),2)</f>
        <v>2145.52</v>
      </c>
      <c r="E26" s="468">
        <f>ROUND($D26/E$25,0)</f>
        <v>1022</v>
      </c>
      <c r="F26" s="468">
        <f>ROUND($D26/F$25,0)</f>
        <v>894</v>
      </c>
      <c r="G26" s="468">
        <f>ROUND($D26/G$25,0)</f>
        <v>795</v>
      </c>
      <c r="H26" s="468">
        <f aca="true" t="shared" si="0" ref="H26:K32">ROUND($D26/H$25,0)</f>
        <v>715</v>
      </c>
      <c r="I26" s="468">
        <f t="shared" si="0"/>
        <v>650</v>
      </c>
      <c r="J26" s="468">
        <f t="shared" si="0"/>
        <v>596</v>
      </c>
      <c r="K26" s="469">
        <f t="shared" si="0"/>
        <v>550</v>
      </c>
    </row>
    <row r="27" spans="2:11" ht="15">
      <c r="B27" s="528"/>
      <c r="C27" s="442">
        <v>0.2</v>
      </c>
      <c r="D27" s="473">
        <f>ROUND(($D$29*(1-$C27)),2)</f>
        <v>2452.02</v>
      </c>
      <c r="E27" s="468">
        <f aca="true" t="shared" si="1" ref="E27:G32">ROUND($D27/E$25,0)</f>
        <v>1168</v>
      </c>
      <c r="F27" s="468">
        <f t="shared" si="1"/>
        <v>1022</v>
      </c>
      <c r="G27" s="468">
        <f t="shared" si="1"/>
        <v>908</v>
      </c>
      <c r="H27" s="468">
        <f t="shared" si="0"/>
        <v>817</v>
      </c>
      <c r="I27" s="468">
        <f t="shared" si="0"/>
        <v>743</v>
      </c>
      <c r="J27" s="468">
        <f t="shared" si="0"/>
        <v>681</v>
      </c>
      <c r="K27" s="469">
        <f t="shared" si="0"/>
        <v>629</v>
      </c>
    </row>
    <row r="28" spans="2:11" ht="15">
      <c r="B28" s="529"/>
      <c r="C28" s="442">
        <v>0.1</v>
      </c>
      <c r="D28" s="473">
        <f>ROUND(($D$29*(1-$C28)),2)</f>
        <v>2758.53</v>
      </c>
      <c r="E28" s="468">
        <f t="shared" si="1"/>
        <v>1314</v>
      </c>
      <c r="F28" s="468">
        <f t="shared" si="1"/>
        <v>1149</v>
      </c>
      <c r="G28" s="468">
        <f t="shared" si="1"/>
        <v>1022</v>
      </c>
      <c r="H28" s="468">
        <f t="shared" si="0"/>
        <v>920</v>
      </c>
      <c r="I28" s="468">
        <f t="shared" si="0"/>
        <v>836</v>
      </c>
      <c r="J28" s="468">
        <f t="shared" si="0"/>
        <v>766</v>
      </c>
      <c r="K28" s="469">
        <f t="shared" si="0"/>
        <v>707</v>
      </c>
    </row>
    <row r="29" spans="2:11" ht="15">
      <c r="B29" s="7"/>
      <c r="C29" s="450" t="s">
        <v>76</v>
      </c>
      <c r="D29" s="474">
        <f>'ENTERPRISE BUDGET'!F158</f>
        <v>3065.0306967416795</v>
      </c>
      <c r="E29" s="468">
        <f t="shared" si="1"/>
        <v>1460</v>
      </c>
      <c r="F29" s="468">
        <f t="shared" si="1"/>
        <v>1277</v>
      </c>
      <c r="G29" s="468">
        <f t="shared" si="1"/>
        <v>1135</v>
      </c>
      <c r="H29" s="468">
        <f>ROUND($D29/H$25,0)</f>
        <v>1022</v>
      </c>
      <c r="I29" s="468">
        <f t="shared" si="0"/>
        <v>929</v>
      </c>
      <c r="J29" s="468">
        <f t="shared" si="0"/>
        <v>851</v>
      </c>
      <c r="K29" s="469">
        <f t="shared" si="0"/>
        <v>786</v>
      </c>
    </row>
    <row r="30" spans="2:11" ht="15">
      <c r="B30" s="527" t="s">
        <v>75</v>
      </c>
      <c r="C30" s="442">
        <v>0.1</v>
      </c>
      <c r="D30" s="473">
        <f>ROUND(($D$29*(1+$C30)),2)</f>
        <v>3371.53</v>
      </c>
      <c r="E30" s="468">
        <f t="shared" si="1"/>
        <v>1605</v>
      </c>
      <c r="F30" s="468">
        <f t="shared" si="1"/>
        <v>1405</v>
      </c>
      <c r="G30" s="468">
        <f t="shared" si="1"/>
        <v>1249</v>
      </c>
      <c r="H30" s="468">
        <f t="shared" si="0"/>
        <v>1124</v>
      </c>
      <c r="I30" s="468">
        <f t="shared" si="0"/>
        <v>1022</v>
      </c>
      <c r="J30" s="468">
        <f t="shared" si="0"/>
        <v>937</v>
      </c>
      <c r="K30" s="469">
        <f t="shared" si="0"/>
        <v>864</v>
      </c>
    </row>
    <row r="31" spans="2:11" ht="15">
      <c r="B31" s="528"/>
      <c r="C31" s="442">
        <v>0.2</v>
      </c>
      <c r="D31" s="473">
        <f>ROUND(($D$29*(1+$C31)),2)</f>
        <v>3678.04</v>
      </c>
      <c r="E31" s="468">
        <f t="shared" si="1"/>
        <v>1751</v>
      </c>
      <c r="F31" s="468">
        <f t="shared" si="1"/>
        <v>1533</v>
      </c>
      <c r="G31" s="468">
        <f t="shared" si="1"/>
        <v>1362</v>
      </c>
      <c r="H31" s="468">
        <f t="shared" si="0"/>
        <v>1226</v>
      </c>
      <c r="I31" s="468">
        <f t="shared" si="0"/>
        <v>1115</v>
      </c>
      <c r="J31" s="468">
        <f t="shared" si="0"/>
        <v>1022</v>
      </c>
      <c r="K31" s="469">
        <f t="shared" si="0"/>
        <v>943</v>
      </c>
    </row>
    <row r="32" spans="2:11" ht="15.75" thickBot="1">
      <c r="B32" s="530"/>
      <c r="C32" s="451">
        <v>0.3</v>
      </c>
      <c r="D32" s="475">
        <f>ROUND(($D$29*(1+$C32)),2)</f>
        <v>3984.54</v>
      </c>
      <c r="E32" s="470">
        <f t="shared" si="1"/>
        <v>1897</v>
      </c>
      <c r="F32" s="470">
        <f t="shared" si="1"/>
        <v>1660</v>
      </c>
      <c r="G32" s="470">
        <f t="shared" si="1"/>
        <v>1476</v>
      </c>
      <c r="H32" s="470">
        <f t="shared" si="0"/>
        <v>1328</v>
      </c>
      <c r="I32" s="470">
        <f t="shared" si="0"/>
        <v>1207</v>
      </c>
      <c r="J32" s="470">
        <f t="shared" si="0"/>
        <v>1107</v>
      </c>
      <c r="K32" s="471">
        <f t="shared" si="0"/>
        <v>1022</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2015-06-16T20:57:11Z</dcterms:modified>
  <cp:category/>
  <cp:version/>
  <cp:contentType/>
  <cp:contentStatus/>
</cp:coreProperties>
</file>