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uemp-my.sharepoint.com/personal/talia_parfeniuk_student_kpu_ca/Documents/Summer 2025/ISFS Work/SSMPA/Enterprise Budgets/"/>
    </mc:Choice>
  </mc:AlternateContent>
  <xr:revisionPtr revIDLastSave="5463" documentId="8_{54CE740A-3149-4004-B563-D0DFA040796C}" xr6:coauthVersionLast="47" xr6:coauthVersionMax="47" xr10:uidLastSave="{60BCBA24-4CC8-4D3A-9AF2-AB8840C3CA53}"/>
  <bookViews>
    <workbookView xWindow="11190" yWindow="0" windowWidth="11460" windowHeight="14410" firstSheet="5" activeTab="5" xr2:uid="{C3BAC71D-6020-4804-9470-98D2395E2CAC}"/>
  </bookViews>
  <sheets>
    <sheet name="READ ME" sheetId="20" r:id="rId1"/>
    <sheet name="Assumptions" sheetId="1" r:id="rId2"/>
    <sheet name="Your Operation &amp; Profit" sheetId="19" r:id="rId3"/>
    <sheet name="Variable Costs" sheetId="5" r:id="rId4"/>
    <sheet name="Fixed Costs (Equip&amp;Infra)" sheetId="13" r:id="rId5"/>
    <sheet name="Fixed Costs (other)" sheetId="11" r:id="rId6"/>
    <sheet name="Sensitivity Analysis" sheetId="2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9" l="1"/>
  <c r="B15" i="19" l="1"/>
  <c r="B21" i="19" s="1"/>
  <c r="D10" i="11"/>
  <c r="D8" i="11"/>
  <c r="D11" i="5"/>
  <c r="D10" i="5"/>
  <c r="C23" i="13" l="1"/>
  <c r="B11" i="5"/>
  <c r="B12" i="5"/>
  <c r="B13" i="5" s="1"/>
  <c r="B10" i="5"/>
  <c r="B9" i="5"/>
  <c r="B8" i="5"/>
  <c r="B6" i="5"/>
  <c r="B5" i="5"/>
  <c r="B4" i="5"/>
  <c r="B12" i="19"/>
  <c r="C12" i="13" s="1"/>
  <c r="E17" i="11"/>
  <c r="B11" i="19"/>
  <c r="C9" i="13" l="1"/>
  <c r="E9" i="13" s="1"/>
  <c r="C11" i="13"/>
  <c r="E11" i="13" s="1"/>
  <c r="C10" i="13"/>
  <c r="E10" i="13" s="1"/>
  <c r="E7" i="13"/>
  <c r="E16" i="13"/>
  <c r="E24" i="13"/>
  <c r="E6" i="13"/>
  <c r="E14" i="5"/>
  <c r="E15" i="5"/>
  <c r="E17" i="13"/>
  <c r="E18" i="13"/>
  <c r="E19" i="13"/>
  <c r="E25" i="13"/>
  <c r="E26" i="13"/>
  <c r="E27" i="13"/>
  <c r="E8" i="13"/>
  <c r="E12" i="13"/>
  <c r="E5" i="13"/>
  <c r="G10" i="13" l="1"/>
  <c r="L10" i="13" s="1"/>
  <c r="G9" i="13"/>
  <c r="L9" i="13" s="1"/>
  <c r="G11" i="13"/>
  <c r="L11" i="13" s="1"/>
  <c r="G7" i="13"/>
  <c r="K7" i="13" s="1"/>
  <c r="L7" i="13"/>
  <c r="G12" i="13"/>
  <c r="L12" i="13" s="1"/>
  <c r="G8" i="13"/>
  <c r="L8" i="13" s="1"/>
  <c r="G6" i="13"/>
  <c r="L6" i="13" s="1"/>
  <c r="B4" i="11"/>
  <c r="E23" i="13"/>
  <c r="G23" i="13" s="1"/>
  <c r="L23" i="13" s="1"/>
  <c r="E13" i="5"/>
  <c r="G24" i="13"/>
  <c r="K24" i="13" s="1"/>
  <c r="E8" i="5"/>
  <c r="E9" i="5"/>
  <c r="E11" i="5"/>
  <c r="E9" i="11"/>
  <c r="B10" i="11"/>
  <c r="E10" i="11" s="1"/>
  <c r="E8" i="11"/>
  <c r="G27" i="13"/>
  <c r="L27" i="13" s="1"/>
  <c r="G26" i="13"/>
  <c r="L26" i="13" s="1"/>
  <c r="G25" i="13"/>
  <c r="L25" i="13" s="1"/>
  <c r="G19" i="13"/>
  <c r="L19" i="13" s="1"/>
  <c r="G18" i="13"/>
  <c r="K18" i="13" s="1"/>
  <c r="G17" i="13"/>
  <c r="L17" i="13" s="1"/>
  <c r="G16" i="13"/>
  <c r="K16" i="13" s="1"/>
  <c r="G5" i="13"/>
  <c r="L5" i="13" s="1"/>
  <c r="L24" i="13" l="1"/>
  <c r="M24" i="13" s="1"/>
  <c r="M7" i="13"/>
  <c r="K11" i="13"/>
  <c r="M11" i="13" s="1"/>
  <c r="E11" i="11"/>
  <c r="K5" i="13"/>
  <c r="K23" i="13"/>
  <c r="M23" i="13" s="1"/>
  <c r="K25" i="13"/>
  <c r="M25" i="13" s="1"/>
  <c r="K27" i="13"/>
  <c r="M27" i="13" s="1"/>
  <c r="K26" i="13"/>
  <c r="M26" i="13" s="1"/>
  <c r="K10" i="13"/>
  <c r="M10" i="13" s="1"/>
  <c r="L18" i="13"/>
  <c r="M18" i="13" s="1"/>
  <c r="K9" i="13"/>
  <c r="M9" i="13" s="1"/>
  <c r="L16" i="13"/>
  <c r="M16" i="13" s="1"/>
  <c r="K19" i="13"/>
  <c r="M19" i="13" s="1"/>
  <c r="K17" i="13"/>
  <c r="M17" i="13" s="1"/>
  <c r="K8" i="13"/>
  <c r="M8" i="13" s="1"/>
  <c r="K6" i="13"/>
  <c r="M6" i="13" s="1"/>
  <c r="K12" i="13"/>
  <c r="M12" i="13" s="1"/>
  <c r="M13" i="13" l="1"/>
  <c r="M5" i="13"/>
  <c r="M28" i="13"/>
  <c r="M20" i="13"/>
  <c r="M30" i="13" l="1"/>
  <c r="B19" i="19" s="1"/>
  <c r="E4" i="11"/>
  <c r="E5" i="11" s="1"/>
  <c r="E19" i="11" s="1"/>
  <c r="B20" i="19" s="1"/>
  <c r="E4" i="5"/>
  <c r="E5" i="5"/>
  <c r="E6" i="5"/>
  <c r="E7" i="5"/>
  <c r="E12" i="5"/>
  <c r="E10" i="5" l="1"/>
  <c r="E16" i="5" s="1"/>
  <c r="B18" i="19" s="1"/>
</calcChain>
</file>

<file path=xl/sharedStrings.xml><?xml version="1.0" encoding="utf-8"?>
<sst xmlns="http://schemas.openxmlformats.org/spreadsheetml/2006/main" count="196" uniqueCount="168">
  <si>
    <t>Chicks</t>
  </si>
  <si>
    <t>Land</t>
  </si>
  <si>
    <t>Marketing</t>
  </si>
  <si>
    <t>Variable Costs</t>
  </si>
  <si>
    <t>Shipping on chicks</t>
  </si>
  <si>
    <t>Waterers</t>
  </si>
  <si>
    <t>Hours spent marketing (e.g. social media)</t>
  </si>
  <si>
    <t>Acreage dedicated to pasture raised poultry</t>
  </si>
  <si>
    <t>Assumptions</t>
  </si>
  <si>
    <t>Item</t>
  </si>
  <si>
    <t>Unit</t>
  </si>
  <si>
    <t>Amount</t>
  </si>
  <si>
    <t>Cost Per Unit</t>
  </si>
  <si>
    <t>Total Cost</t>
  </si>
  <si>
    <t>chicks</t>
  </si>
  <si>
    <t>cubic yards</t>
  </si>
  <si>
    <t>hours</t>
  </si>
  <si>
    <t>Utilities for brooder (propane, 4 weeks)</t>
  </si>
  <si>
    <t>Annual Water Fee</t>
  </si>
  <si>
    <t>Bucket</t>
  </si>
  <si>
    <t>Mower</t>
  </si>
  <si>
    <t>Forks</t>
  </si>
  <si>
    <t>Hours spent at farmers market</t>
  </si>
  <si>
    <t>Farmers Market Fee (per market)</t>
  </si>
  <si>
    <t>Energizer</t>
  </si>
  <si>
    <t>Processing</t>
  </si>
  <si>
    <t>BCCMB Fees for Small Scale Lot Permit</t>
  </si>
  <si>
    <t>Cost per unit</t>
  </si>
  <si>
    <t>Total cost</t>
  </si>
  <si>
    <t>acres</t>
  </si>
  <si>
    <t>broilers</t>
  </si>
  <si>
    <t>tonnes</t>
  </si>
  <si>
    <t>Total variable costs</t>
  </si>
  <si>
    <t>Insurance and Licences</t>
  </si>
  <si>
    <t xml:space="preserve">Freezers </t>
  </si>
  <si>
    <t>Fixed Costs (Other)</t>
  </si>
  <si>
    <t xml:space="preserve">Electric Netting </t>
  </si>
  <si>
    <t>Interest Rate</t>
  </si>
  <si>
    <t>Brooder House</t>
  </si>
  <si>
    <t>Type</t>
  </si>
  <si>
    <t>ITEM</t>
  </si>
  <si>
    <t>Purchase Price ($)</t>
  </si>
  <si>
    <t>Trade-in Value ($)</t>
  </si>
  <si>
    <t>Useful  Life (Years)</t>
  </si>
  <si>
    <t xml:space="preserve">Depreciation ($) </t>
  </si>
  <si>
    <t xml:space="preserve">Interest expense ($) </t>
  </si>
  <si>
    <t>Annual Fixed Cost</t>
  </si>
  <si>
    <t>Trade-in Value (% purchase price)</t>
  </si>
  <si>
    <t>BIRD SHELTERS</t>
  </si>
  <si>
    <t>DIY</t>
  </si>
  <si>
    <t>Movable Housing</t>
  </si>
  <si>
    <t xml:space="preserve">MACHINERY </t>
  </si>
  <si>
    <t>Tractor</t>
  </si>
  <si>
    <t>Used Massey 3135</t>
  </si>
  <si>
    <t>Bird Shelters Total</t>
  </si>
  <si>
    <t>Machinery Total</t>
  </si>
  <si>
    <t>OTHER</t>
  </si>
  <si>
    <t>Other Total</t>
  </si>
  <si>
    <t>Feed Storage</t>
  </si>
  <si>
    <t>20ft shipping container</t>
  </si>
  <si>
    <t>Used truck, must be able to haul trailer</t>
  </si>
  <si>
    <t>Farm vehicle</t>
  </si>
  <si>
    <t>Farmers Market Materials</t>
  </si>
  <si>
    <t>Tent, table, signs, etc.</t>
  </si>
  <si>
    <t>Four 21 cubic foot chest freezers (hold 150 chickens each) at $1000 each</t>
  </si>
  <si>
    <t>Fixed Costs (Equipment &amp; Infrastructure)</t>
  </si>
  <si>
    <t>Crates for processing (rental)</t>
  </si>
  <si>
    <t>crates</t>
  </si>
  <si>
    <t>Total Annual Fixed Costs (Equipment and Infrastructure)</t>
  </si>
  <si>
    <t>Profit</t>
  </si>
  <si>
    <t>Revenue</t>
  </si>
  <si>
    <t>Total Variable Costs</t>
  </si>
  <si>
    <t>Hours</t>
  </si>
  <si>
    <t>Total Other Fixed Costs</t>
  </si>
  <si>
    <t>Total Insurance and Licences</t>
  </si>
  <si>
    <t>Total Marketing</t>
  </si>
  <si>
    <t>Total Land</t>
  </si>
  <si>
    <t>Estimated Poultry Share of Equipment Use (%)</t>
  </si>
  <si>
    <t>Bedding (wood shavings)</t>
  </si>
  <si>
    <t>Number of shelters</t>
  </si>
  <si>
    <t>Acreage dedicated to pasture</t>
  </si>
  <si>
    <t>Final goal weight (lb)</t>
  </si>
  <si>
    <t>Total Price ($)</t>
  </si>
  <si>
    <t>Dressed weight (lb)</t>
  </si>
  <si>
    <t>Price per pound</t>
  </si>
  <si>
    <t>Death Loss</t>
  </si>
  <si>
    <t>pounds</t>
  </si>
  <si>
    <t>Labour (daily)</t>
  </si>
  <si>
    <t>Fuel</t>
  </si>
  <si>
    <t>Maintenance</t>
  </si>
  <si>
    <t>hours on tractor per season</t>
  </si>
  <si>
    <t>Brooder Lamp (for light only, no heat)</t>
  </si>
  <si>
    <t>Brooder Heater (propane)</t>
  </si>
  <si>
    <t>Used</t>
  </si>
  <si>
    <t>Flat deck trailer rental for transport to processor</t>
  </si>
  <si>
    <t>Trailer rental</t>
  </si>
  <si>
    <t>Starter Feed (non-organic, 3 weeks)</t>
  </si>
  <si>
    <t>Grower Feed (non-organic, 5 weeks)</t>
  </si>
  <si>
    <t>Labour (capture &amp; move)</t>
  </si>
  <si>
    <t>Commercial General Liability</t>
  </si>
  <si>
    <t xml:space="preserve">The operators said that they do not keep track of processing loss. This was approximately how much they expect the dressed weight to be if a bird is raised to 8.5 lb. </t>
  </si>
  <si>
    <t>The cells highlighted in yellow are changeable. You can alter them to see how the cost of items and profits change.</t>
  </si>
  <si>
    <t xml:space="preserve">LED flood lights. </t>
  </si>
  <si>
    <t>Your Operation</t>
  </si>
  <si>
    <t>Fixed Costs (Equip&amp;Infra)</t>
  </si>
  <si>
    <t>Sensitivity Analysis</t>
  </si>
  <si>
    <t>The cells highlighted in green are formulas. Do not change them!</t>
  </si>
  <si>
    <t>Size of flock</t>
  </si>
  <si>
    <t>Number of birds per shelter</t>
  </si>
  <si>
    <t>Costs affected by the volume of production. These costs increase as the number of chickens in the flock increases.</t>
  </si>
  <si>
    <t>Costs related to infrastructure and equipment that are constant regardless of the volume produced.</t>
  </si>
  <si>
    <t>Four nets (26 meters) per shelter at $200 each.</t>
  </si>
  <si>
    <t>Nipple water lines (30 ft per batch). Purchased used. One per shelter.</t>
  </si>
  <si>
    <t>Cost of labour per hour</t>
  </si>
  <si>
    <t>Parameters</t>
  </si>
  <si>
    <t xml:space="preserve">Sensitivity Analysis </t>
  </si>
  <si>
    <t>Size of Flock vs. Price per Pound</t>
  </si>
  <si>
    <t>FLOCK SIZE</t>
  </si>
  <si>
    <t>PRICE PER POUND</t>
  </si>
  <si>
    <t>Size of Flock vs. Cost of Labour per Hour</t>
  </si>
  <si>
    <t>COST OF LABOUR PER HOUR</t>
  </si>
  <si>
    <t>COST OF FEED</t>
  </si>
  <si>
    <t>% INCREASE</t>
  </si>
  <si>
    <t>Size of Flock vs. Percent Increase in Feed Price</t>
  </si>
  <si>
    <t>Size of Flock vs. Death Rate</t>
  </si>
  <si>
    <t>Assuming dressed weight of 6lb, labour cost of $25/hour, and death rate of 10%</t>
  </si>
  <si>
    <t>BASE PRICE</t>
  </si>
  <si>
    <t>Assuming dressed weight of 6lb, death rate of 10%, and sale price of $7/pound</t>
  </si>
  <si>
    <t>Assuming dressed weight of 6lb, sale price of $7/pound, death rate of 10%, and $25/hour cost of labour</t>
  </si>
  <si>
    <t>Assuming dressed weight of 6lb, sale price of $7/pound, and $25/hour cost of labour</t>
  </si>
  <si>
    <t>READ ME</t>
  </si>
  <si>
    <t>Sheets in this Document</t>
  </si>
  <si>
    <t xml:space="preserve">This sheet lays out default assumptios of the operation described in this budget (e.g. number of birds, breed, acreage) </t>
  </si>
  <si>
    <t>Your Operation &amp; Profit</t>
  </si>
  <si>
    <t>This sheet allows you to change the default assumptions of the operation.</t>
  </si>
  <si>
    <t>The parameters you change will automatically be changed throughout the entire document.</t>
  </si>
  <si>
    <t>Profit is also displayed on this sheet, so you can see how profit changes as you change the parameters.</t>
  </si>
  <si>
    <t>Keep in mind that the profit will be less accurate the farther you stray from the default assumptions.</t>
  </si>
  <si>
    <t>Stall Fee (weekly farmers markets)</t>
  </si>
  <si>
    <t>Costs that remain constant regardless of volume produced (excluding infrastructure and equipment).</t>
  </si>
  <si>
    <t>Equipment and infrastructure were seperated from other fixed costs because they are affected by depreciation.</t>
  </si>
  <si>
    <t>Equipment and infrastructre are calculated as an annual cost based on their purchase price, trade-in value, and depreciation.</t>
  </si>
  <si>
    <t>Made from a 20ft shipping container. The estimated poultry share is only 15% because farmers often use this space as storage for other on farm enterprises during the rest of the year.</t>
  </si>
  <si>
    <t>The "Estimated Poultry Share of Equipment Use (%)" column refers to the portion of time this equipment and infrastruture is dedicated to poultry relative to other on farm enterprises.</t>
  </si>
  <si>
    <t>The assumption is that this a diversified farm. If poultry is the only enterprise, then the "Estimated Poultry Share of Equipment Use (%)" would be 100%.</t>
  </si>
  <si>
    <t>The sensitivity analysis models how changing different parameters affect profit.</t>
  </si>
  <si>
    <t>Each table in the sensitivity analysis models the way two variables affect profit by changing them each incrementally.</t>
  </si>
  <si>
    <t>Number of birds minus death loss</t>
  </si>
  <si>
    <t>1.      This poultry enterprise is a part of a diversified farm, and shared costs of equipment and infrastructure are allocated proportionally to other on farm enterprises.</t>
  </si>
  <si>
    <t>2.      One batch of 500 Cornish Cross broiler chickens is raised per year.</t>
  </si>
  <si>
    <t>3.      Chicks are purchased unsexed and vaccinated from the hatchery.</t>
  </si>
  <si>
    <t>4.      The production cycle is eight weeks long, including four weeks in a brooder and four weeks on pasture.</t>
  </si>
  <si>
    <t>5.      Average live weight at slaughter is 8.5lb, with an average dressed weigh to 6.0lb.</t>
  </si>
  <si>
    <t>6.      The mortality rate is 10% over the entire production cycle.</t>
  </si>
  <si>
    <t>7.      Birds are raised on pasture using one movable shelter per 500 birds.</t>
  </si>
  <si>
    <t>8.      The shelter is 750 square feet, providing 1.5 square feet per bird.</t>
  </si>
  <si>
    <t>9.      Approximately 0.5 acres of pasture is required for one batch of 500 birds, with the birds passing over the pasture once per season.</t>
  </si>
  <si>
    <t>10.  Land is leased at a rate of $140 per acre.</t>
  </si>
  <si>
    <t>11.  Pasture is not reseeded and irrigation is not used.</t>
  </si>
  <si>
    <t>12.  Feed is non-organic and unmedicated.</t>
  </si>
  <si>
    <t>13.  Birds are processed off farm by a licensed poultry processor.</t>
  </si>
  <si>
    <t>14.  Whole broilers are sold through direct-to-consumer channels at a price of $7.00 per pound.</t>
  </si>
  <si>
    <t>15.  The annual fixed cost is estimated using the straight-line depreciation method</t>
  </si>
  <si>
    <t>16.  The interest rate is fixed at 5%.</t>
  </si>
  <si>
    <t>17.  Labour is paid at a rate of $25 per hour.</t>
  </si>
  <si>
    <t>18.  Labour related to capturing and moving chickens, selling at farmers markets, and social media marketing is accounted for.</t>
  </si>
  <si>
    <t>19.  Management time is not explicitly included as a cost. The net return over total cost may be considered as the return to management.</t>
  </si>
  <si>
    <t>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</si>
</sst>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0.0"/>
    <numFmt numFmtId="166" formatCode="#,##0.00_ ;\-#,##0.00\ 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44" fontId="0" fillId="0" borderId="0" xfId="1" applyFont="1"/>
    <xf numFmtId="9" fontId="0" fillId="0" borderId="0" xfId="2" applyFont="1"/>
    <xf numFmtId="44" fontId="1" fillId="0" borderId="0" xfId="1" applyFont="1"/>
    <xf numFmtId="0" fontId="0" fillId="0" borderId="4" xfId="0" applyBorder="1"/>
    <xf numFmtId="0" fontId="0" fillId="0" borderId="0" xfId="0" applyProtection="1"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164" fontId="0" fillId="3" borderId="21" xfId="0" applyNumberFormat="1" applyFill="1" applyBorder="1"/>
    <xf numFmtId="164" fontId="0" fillId="3" borderId="10" xfId="0" applyNumberFormat="1" applyFill="1" applyBorder="1"/>
    <xf numFmtId="164" fontId="0" fillId="3" borderId="22" xfId="0" applyNumberFormat="1" applyFill="1" applyBorder="1"/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4" xfId="0" applyFont="1" applyFill="1" applyBorder="1" applyProtection="1">
      <protection locked="0"/>
    </xf>
    <xf numFmtId="4" fontId="1" fillId="4" borderId="14" xfId="0" applyNumberFormat="1" applyFont="1" applyFill="1" applyBorder="1" applyProtection="1">
      <protection locked="0"/>
    </xf>
    <xf numFmtId="1" fontId="1" fillId="4" borderId="14" xfId="0" applyNumberFormat="1" applyFont="1" applyFill="1" applyBorder="1" applyProtection="1">
      <protection locked="0"/>
    </xf>
    <xf numFmtId="164" fontId="1" fillId="4" borderId="23" xfId="0" applyNumberFormat="1" applyFont="1" applyFill="1" applyBorder="1" applyProtection="1">
      <protection locked="0"/>
    </xf>
    <xf numFmtId="164" fontId="1" fillId="4" borderId="14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4" fontId="0" fillId="5" borderId="12" xfId="1" applyFont="1" applyFill="1" applyBorder="1" applyProtection="1">
      <protection locked="0"/>
    </xf>
    <xf numFmtId="9" fontId="0" fillId="0" borderId="0" xfId="2" applyFont="1" applyProtection="1">
      <protection locked="0"/>
    </xf>
    <xf numFmtId="9" fontId="4" fillId="0" borderId="7" xfId="2" applyFont="1" applyBorder="1" applyAlignment="1" applyProtection="1">
      <protection locked="0"/>
    </xf>
    <xf numFmtId="9" fontId="0" fillId="5" borderId="12" xfId="2" applyFont="1" applyFill="1" applyBorder="1" applyProtection="1">
      <protection locked="0"/>
    </xf>
    <xf numFmtId="9" fontId="1" fillId="4" borderId="14" xfId="2" applyFont="1" applyFill="1" applyBorder="1" applyProtection="1">
      <protection locked="0"/>
    </xf>
    <xf numFmtId="9" fontId="0" fillId="5" borderId="21" xfId="2" applyFont="1" applyFill="1" applyBorder="1" applyProtection="1">
      <protection locked="0"/>
    </xf>
    <xf numFmtId="9" fontId="1" fillId="4" borderId="23" xfId="2" applyFont="1" applyFill="1" applyBorder="1" applyProtection="1"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7" fillId="0" borderId="0" xfId="0" applyFont="1"/>
    <xf numFmtId="9" fontId="0" fillId="0" borderId="0" xfId="2" applyFont="1" applyBorder="1" applyProtection="1">
      <protection locked="0"/>
    </xf>
    <xf numFmtId="9" fontId="4" fillId="0" borderId="25" xfId="2" applyFont="1" applyBorder="1" applyAlignment="1" applyProtection="1">
      <protection locked="0"/>
    </xf>
    <xf numFmtId="0" fontId="5" fillId="2" borderId="26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9" fontId="5" fillId="2" borderId="19" xfId="2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Protection="1">
      <protection locked="0"/>
    </xf>
    <xf numFmtId="0" fontId="1" fillId="4" borderId="2" xfId="0" applyFont="1" applyFill="1" applyBorder="1"/>
    <xf numFmtId="0" fontId="0" fillId="4" borderId="3" xfId="0" applyFill="1" applyBorder="1"/>
    <xf numFmtId="164" fontId="1" fillId="4" borderId="1" xfId="0" applyNumberFormat="1" applyFont="1" applyFill="1" applyBorder="1"/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0" fontId="0" fillId="5" borderId="12" xfId="0" applyFill="1" applyBorder="1"/>
    <xf numFmtId="44" fontId="0" fillId="3" borderId="12" xfId="1" applyFont="1" applyFill="1" applyBorder="1"/>
    <xf numFmtId="0" fontId="1" fillId="7" borderId="12" xfId="0" applyFont="1" applyFill="1" applyBorder="1"/>
    <xf numFmtId="0" fontId="0" fillId="7" borderId="12" xfId="0" applyFill="1" applyBorder="1"/>
    <xf numFmtId="44" fontId="0" fillId="7" borderId="12" xfId="1" applyFont="1" applyFill="1" applyBorder="1"/>
    <xf numFmtId="44" fontId="1" fillId="7" borderId="12" xfId="1" applyFont="1" applyFill="1" applyBorder="1"/>
    <xf numFmtId="0" fontId="1" fillId="4" borderId="11" xfId="0" applyFont="1" applyFill="1" applyBorder="1"/>
    <xf numFmtId="0" fontId="0" fillId="4" borderId="12" xfId="0" applyFill="1" applyBorder="1"/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5" borderId="11" xfId="0" applyFill="1" applyBorder="1" applyAlignment="1">
      <alignment wrapText="1"/>
    </xf>
    <xf numFmtId="0" fontId="0" fillId="5" borderId="12" xfId="0" applyFill="1" applyBorder="1" applyAlignment="1">
      <alignment wrapText="1"/>
    </xf>
    <xf numFmtId="44" fontId="0" fillId="5" borderId="12" xfId="1" applyFont="1" applyFill="1" applyBorder="1" applyAlignment="1">
      <alignment wrapText="1"/>
    </xf>
    <xf numFmtId="0" fontId="0" fillId="5" borderId="11" xfId="0" applyFill="1" applyBorder="1"/>
    <xf numFmtId="44" fontId="0" fillId="5" borderId="12" xfId="1" applyFont="1" applyFill="1" applyBorder="1"/>
    <xf numFmtId="44" fontId="0" fillId="4" borderId="12" xfId="1" applyFont="1" applyFill="1" applyBorder="1"/>
    <xf numFmtId="44" fontId="0" fillId="4" borderId="12" xfId="0" applyNumberFormat="1" applyFill="1" applyBorder="1"/>
    <xf numFmtId="0" fontId="0" fillId="4" borderId="12" xfId="0" applyFill="1" applyBorder="1" applyAlignment="1">
      <alignment wrapText="1"/>
    </xf>
    <xf numFmtId="44" fontId="0" fillId="4" borderId="12" xfId="1" applyFont="1" applyFill="1" applyBorder="1" applyAlignment="1">
      <alignment wrapText="1"/>
    </xf>
    <xf numFmtId="44" fontId="0" fillId="3" borderId="12" xfId="1" applyFont="1" applyFill="1" applyBorder="1" applyAlignment="1">
      <alignment wrapText="1"/>
    </xf>
    <xf numFmtId="44" fontId="0" fillId="3" borderId="12" xfId="0" applyNumberFormat="1" applyFill="1" applyBorder="1"/>
    <xf numFmtId="0" fontId="1" fillId="4" borderId="11" xfId="0" applyFont="1" applyFill="1" applyBorder="1" applyAlignment="1">
      <alignment wrapText="1"/>
    </xf>
    <xf numFmtId="0" fontId="1" fillId="4" borderId="13" xfId="0" applyFont="1" applyFill="1" applyBorder="1"/>
    <xf numFmtId="44" fontId="0" fillId="4" borderId="14" xfId="1" applyFont="1" applyFill="1" applyBorder="1"/>
    <xf numFmtId="0" fontId="0" fillId="4" borderId="14" xfId="0" applyFill="1" applyBorder="1"/>
    <xf numFmtId="44" fontId="0" fillId="4" borderId="15" xfId="0" applyNumberFormat="1" applyFill="1" applyBorder="1"/>
    <xf numFmtId="44" fontId="0" fillId="3" borderId="12" xfId="1" applyFont="1" applyFill="1" applyBorder="1" applyProtection="1">
      <protection locked="0"/>
    </xf>
    <xf numFmtId="44" fontId="0" fillId="5" borderId="12" xfId="1" applyFont="1" applyFill="1" applyBorder="1" applyAlignment="1" applyProtection="1">
      <alignment wrapText="1"/>
      <protection locked="0"/>
    </xf>
    <xf numFmtId="0" fontId="0" fillId="3" borderId="12" xfId="0" applyFill="1" applyBorder="1"/>
    <xf numFmtId="9" fontId="0" fillId="5" borderId="12" xfId="2" applyFont="1" applyFill="1" applyBorder="1"/>
    <xf numFmtId="0" fontId="1" fillId="5" borderId="12" xfId="0" applyFont="1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65" fontId="0" fillId="3" borderId="12" xfId="0" applyNumberFormat="1" applyFill="1" applyBorder="1"/>
    <xf numFmtId="164" fontId="0" fillId="9" borderId="12" xfId="0" applyNumberFormat="1" applyFill="1" applyBorder="1" applyAlignment="1">
      <alignment horizontal="center"/>
    </xf>
    <xf numFmtId="3" fontId="0" fillId="9" borderId="12" xfId="0" applyNumberFormat="1" applyFill="1" applyBorder="1"/>
    <xf numFmtId="0" fontId="13" fillId="10" borderId="12" xfId="0" applyFont="1" applyFill="1" applyBorder="1" applyAlignment="1">
      <alignment horizontal="center"/>
    </xf>
    <xf numFmtId="8" fontId="0" fillId="11" borderId="12" xfId="0" applyNumberFormat="1" applyFill="1" applyBorder="1" applyAlignment="1">
      <alignment horizontal="center"/>
    </xf>
    <xf numFmtId="9" fontId="0" fillId="9" borderId="12" xfId="2" applyFont="1" applyFill="1" applyBorder="1" applyAlignment="1" applyProtection="1">
      <alignment horizontal="center"/>
    </xf>
    <xf numFmtId="44" fontId="0" fillId="11" borderId="12" xfId="1" applyFont="1" applyFill="1" applyBorder="1" applyAlignment="1">
      <alignment horizontal="center"/>
    </xf>
    <xf numFmtId="9" fontId="0" fillId="9" borderId="29" xfId="2" applyFont="1" applyFill="1" applyBorder="1" applyAlignment="1" applyProtection="1">
      <alignment horizontal="center"/>
    </xf>
    <xf numFmtId="44" fontId="0" fillId="11" borderId="29" xfId="1" applyFont="1" applyFill="1" applyBorder="1" applyAlignment="1">
      <alignment horizontal="center"/>
    </xf>
    <xf numFmtId="44" fontId="3" fillId="11" borderId="29" xfId="1" applyFont="1" applyFill="1" applyBorder="1" applyAlignment="1">
      <alignment horizontal="center"/>
    </xf>
    <xf numFmtId="0" fontId="0" fillId="0" borderId="33" xfId="0" applyBorder="1"/>
    <xf numFmtId="0" fontId="1" fillId="5" borderId="0" xfId="0" applyFont="1" applyFill="1"/>
    <xf numFmtId="0" fontId="1" fillId="3" borderId="0" xfId="0" applyFont="1" applyFill="1"/>
    <xf numFmtId="0" fontId="0" fillId="3" borderId="12" xfId="0" applyFill="1" applyBorder="1" applyAlignment="1">
      <alignment wrapText="1"/>
    </xf>
    <xf numFmtId="44" fontId="0" fillId="0" borderId="0" xfId="0" applyNumberFormat="1"/>
    <xf numFmtId="0" fontId="1" fillId="7" borderId="12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28" xfId="0" applyFont="1" applyFill="1" applyBorder="1" applyAlignment="1">
      <alignment horizontal="center" wrapText="1"/>
    </xf>
    <xf numFmtId="0" fontId="14" fillId="2" borderId="24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3" fillId="10" borderId="29" xfId="0" applyFont="1" applyFill="1" applyBorder="1" applyAlignment="1">
      <alignment horizontal="center"/>
    </xf>
    <xf numFmtId="0" fontId="13" fillId="10" borderId="31" xfId="0" applyFont="1" applyFill="1" applyBorder="1" applyAlignment="1">
      <alignment horizontal="center"/>
    </xf>
    <xf numFmtId="0" fontId="13" fillId="10" borderId="30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8" borderId="31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center"/>
    </xf>
    <xf numFmtId="44" fontId="0" fillId="3" borderId="12" xfId="1" applyNumberFormat="1" applyFont="1" applyFill="1" applyBorder="1"/>
    <xf numFmtId="1" fontId="0" fillId="5" borderId="12" xfId="2" applyNumberFormat="1" applyFont="1" applyFill="1" applyBorder="1"/>
    <xf numFmtId="1" fontId="0" fillId="0" borderId="0" xfId="0" applyNumberFormat="1"/>
    <xf numFmtId="166" fontId="0" fillId="0" borderId="0" xfId="0" applyNumberFormat="1"/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</cellXfs>
  <cellStyles count="5">
    <cellStyle name="Currency" xfId="1" builtinId="4"/>
    <cellStyle name="Hyperlink 2" xfId="3" xr:uid="{8726CBD4-CA72-4B34-97F5-A7BF73083B9D}"/>
    <cellStyle name="Normal" xfId="0" builtinId="0"/>
    <cellStyle name="Normal 2" xfId="4" xr:uid="{586962D6-C456-4CB3-BA7D-87B0B63C641F}"/>
    <cellStyle name="Per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043F-742E-405E-966E-5D028FF08640}">
  <dimension ref="A1:A32"/>
  <sheetViews>
    <sheetView topLeftCell="A3" workbookViewId="0">
      <selection activeCell="A32" sqref="A32"/>
    </sheetView>
  </sheetViews>
  <sheetFormatPr defaultRowHeight="14.5" x14ac:dyDescent="0.35"/>
  <cols>
    <col min="1" max="1" width="93.453125" customWidth="1"/>
  </cols>
  <sheetData>
    <row r="1" spans="1:1" ht="28.5" x14ac:dyDescent="0.65">
      <c r="A1" s="4" t="s">
        <v>130</v>
      </c>
    </row>
    <row r="3" spans="1:1" x14ac:dyDescent="0.35">
      <c r="A3" s="98" t="s">
        <v>101</v>
      </c>
    </row>
    <row r="4" spans="1:1" x14ac:dyDescent="0.35">
      <c r="A4" s="99" t="s">
        <v>106</v>
      </c>
    </row>
    <row r="6" spans="1:1" ht="28.5" x14ac:dyDescent="0.65">
      <c r="A6" s="4" t="s">
        <v>131</v>
      </c>
    </row>
    <row r="7" spans="1:1" x14ac:dyDescent="0.35">
      <c r="A7" s="1" t="s">
        <v>8</v>
      </c>
    </row>
    <row r="8" spans="1:1" x14ac:dyDescent="0.35">
      <c r="A8" t="s">
        <v>132</v>
      </c>
    </row>
    <row r="9" spans="1:1" x14ac:dyDescent="0.35">
      <c r="A9" s="1"/>
    </row>
    <row r="10" spans="1:1" x14ac:dyDescent="0.35">
      <c r="A10" s="1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100</v>
      </c>
    </row>
    <row r="15" spans="1:1" x14ac:dyDescent="0.35">
      <c r="A15" t="s">
        <v>137</v>
      </c>
    </row>
    <row r="17" spans="1:1" x14ac:dyDescent="0.35">
      <c r="A17" s="1" t="s">
        <v>3</v>
      </c>
    </row>
    <row r="18" spans="1:1" x14ac:dyDescent="0.35">
      <c r="A18" t="s">
        <v>109</v>
      </c>
    </row>
    <row r="20" spans="1:1" x14ac:dyDescent="0.35">
      <c r="A20" s="1" t="s">
        <v>104</v>
      </c>
    </row>
    <row r="21" spans="1:1" x14ac:dyDescent="0.35">
      <c r="A21" t="s">
        <v>110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143</v>
      </c>
    </row>
    <row r="25" spans="1:1" x14ac:dyDescent="0.35">
      <c r="A25" t="s">
        <v>144</v>
      </c>
    </row>
    <row r="27" spans="1:1" x14ac:dyDescent="0.35">
      <c r="A27" s="1" t="s">
        <v>35</v>
      </c>
    </row>
    <row r="28" spans="1:1" x14ac:dyDescent="0.35">
      <c r="A28" t="s">
        <v>139</v>
      </c>
    </row>
    <row r="30" spans="1:1" x14ac:dyDescent="0.35">
      <c r="A30" s="1" t="s">
        <v>105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0BA9-E2E5-4E92-B92D-0A26BECCA9CA}">
  <dimension ref="A1:A21"/>
  <sheetViews>
    <sheetView zoomScaleNormal="100" workbookViewId="0">
      <selection activeCell="A9" sqref="A9"/>
    </sheetView>
  </sheetViews>
  <sheetFormatPr defaultRowHeight="14.5" x14ac:dyDescent="0.35"/>
  <cols>
    <col min="1" max="1" width="49" style="2" customWidth="1"/>
    <col min="2" max="2" width="12.453125" customWidth="1"/>
    <col min="3" max="3" width="11.36328125" customWidth="1"/>
    <col min="4" max="4" width="12" customWidth="1"/>
    <col min="5" max="6" width="11.90625" customWidth="1"/>
    <col min="7" max="7" width="11.1796875" customWidth="1"/>
    <col min="10" max="10" width="16.453125" customWidth="1"/>
  </cols>
  <sheetData>
    <row r="1" spans="1:1" ht="28.5" x14ac:dyDescent="0.65">
      <c r="A1" s="3" t="s">
        <v>8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FB12-BEA7-41B2-B9A6-E29AB61B414F}">
  <dimension ref="A1:J21"/>
  <sheetViews>
    <sheetView workbookViewId="0">
      <selection activeCell="B8" sqref="B8"/>
    </sheetView>
  </sheetViews>
  <sheetFormatPr defaultRowHeight="14.5" x14ac:dyDescent="0.35"/>
  <cols>
    <col min="1" max="1" width="29.26953125" customWidth="1"/>
    <col min="2" max="2" width="14.90625" customWidth="1"/>
    <col min="4" max="4" width="12.7265625" customWidth="1"/>
    <col min="6" max="6" width="10.6328125" customWidth="1"/>
    <col min="7" max="10" width="18" customWidth="1"/>
  </cols>
  <sheetData>
    <row r="1" spans="1:10" ht="26" x14ac:dyDescent="0.6">
      <c r="A1" s="38" t="s">
        <v>103</v>
      </c>
    </row>
    <row r="2" spans="1:10" ht="21" customHeight="1" x14ac:dyDescent="0.35">
      <c r="A2" s="102" t="s">
        <v>114</v>
      </c>
      <c r="B2" s="102"/>
    </row>
    <row r="3" spans="1:10" x14ac:dyDescent="0.35">
      <c r="A3" s="84" t="s">
        <v>107</v>
      </c>
      <c r="B3" s="51">
        <v>500</v>
      </c>
    </row>
    <row r="4" spans="1:10" x14ac:dyDescent="0.35">
      <c r="A4" s="84" t="s">
        <v>108</v>
      </c>
      <c r="B4" s="51">
        <v>500</v>
      </c>
      <c r="G4" s="101"/>
      <c r="H4" s="101"/>
      <c r="I4" s="101"/>
      <c r="J4" s="101"/>
    </row>
    <row r="5" spans="1:10" x14ac:dyDescent="0.35">
      <c r="A5" s="84" t="s">
        <v>113</v>
      </c>
      <c r="B5" s="51">
        <v>25</v>
      </c>
      <c r="E5" s="138"/>
      <c r="G5" s="139"/>
      <c r="H5" s="139"/>
      <c r="I5" s="139"/>
      <c r="J5" s="139"/>
    </row>
    <row r="6" spans="1:10" x14ac:dyDescent="0.35">
      <c r="A6" s="84" t="s">
        <v>81</v>
      </c>
      <c r="B6" s="51">
        <v>8.5</v>
      </c>
      <c r="G6" s="139"/>
      <c r="H6" s="139"/>
      <c r="I6" s="139"/>
      <c r="J6" s="139"/>
    </row>
    <row r="7" spans="1:10" x14ac:dyDescent="0.35">
      <c r="A7" s="84" t="s">
        <v>83</v>
      </c>
      <c r="B7" s="51">
        <v>6</v>
      </c>
    </row>
    <row r="8" spans="1:10" x14ac:dyDescent="0.35">
      <c r="A8" s="84" t="s">
        <v>84</v>
      </c>
      <c r="B8" s="68">
        <v>7</v>
      </c>
    </row>
    <row r="9" spans="1:10" x14ac:dyDescent="0.35">
      <c r="A9" s="84" t="s">
        <v>85</v>
      </c>
      <c r="B9" s="83">
        <v>0.1</v>
      </c>
    </row>
    <row r="10" spans="1:10" x14ac:dyDescent="0.35">
      <c r="A10" s="84" t="s">
        <v>147</v>
      </c>
      <c r="B10" s="137">
        <f>500-500*B9</f>
        <v>450</v>
      </c>
    </row>
    <row r="11" spans="1:10" x14ac:dyDescent="0.35">
      <c r="A11" s="84" t="s">
        <v>80</v>
      </c>
      <c r="B11" s="82">
        <f>(0.5/500)*B3</f>
        <v>0.5</v>
      </c>
    </row>
    <row r="12" spans="1:10" x14ac:dyDescent="0.35">
      <c r="A12" s="84" t="s">
        <v>79</v>
      </c>
      <c r="B12" s="82">
        <f>ROUNDUP(B3/B4,0)</f>
        <v>1</v>
      </c>
    </row>
    <row r="14" spans="1:10" ht="22.5" customHeight="1" x14ac:dyDescent="0.35">
      <c r="A14" s="102" t="s">
        <v>70</v>
      </c>
      <c r="B14" s="102"/>
    </row>
    <row r="15" spans="1:10" x14ac:dyDescent="0.35">
      <c r="A15" s="51" t="s">
        <v>70</v>
      </c>
      <c r="B15" s="136">
        <f>B7*B10*B8</f>
        <v>18900</v>
      </c>
    </row>
    <row r="17" spans="1:2" ht="24.5" customHeight="1" x14ac:dyDescent="0.35">
      <c r="A17" s="140" t="s">
        <v>69</v>
      </c>
      <c r="B17" s="141"/>
    </row>
    <row r="18" spans="1:2" x14ac:dyDescent="0.35">
      <c r="A18" s="51" t="s">
        <v>71</v>
      </c>
      <c r="B18" s="52">
        <f>-'Variable Costs'!E16</f>
        <v>-11643.785036264375</v>
      </c>
    </row>
    <row r="19" spans="1:2" x14ac:dyDescent="0.35">
      <c r="A19" s="51" t="s">
        <v>65</v>
      </c>
      <c r="B19" s="52">
        <f>-'Fixed Costs (Equip&amp;Infra)'!M30</f>
        <v>-2164.7363095238097</v>
      </c>
    </row>
    <row r="20" spans="1:2" x14ac:dyDescent="0.35">
      <c r="A20" s="51" t="s">
        <v>35</v>
      </c>
      <c r="B20" s="52">
        <f>-'Fixed Costs (other)'!E19</f>
        <v>-2265</v>
      </c>
    </row>
    <row r="21" spans="1:2" x14ac:dyDescent="0.35">
      <c r="A21" s="51" t="s">
        <v>69</v>
      </c>
      <c r="B21" s="52">
        <f>B15+SUM(B18:B20)</f>
        <v>2826.4786542118163</v>
      </c>
    </row>
  </sheetData>
  <mergeCells count="3">
    <mergeCell ref="A2:B2"/>
    <mergeCell ref="A17:B17"/>
    <mergeCell ref="A14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D61D-99EA-4DEB-8EBF-E7E448266094}">
  <dimension ref="A1:I29"/>
  <sheetViews>
    <sheetView zoomScale="86" zoomScaleNormal="120" workbookViewId="0">
      <selection activeCell="A15" sqref="A15"/>
    </sheetView>
  </sheetViews>
  <sheetFormatPr defaultRowHeight="14.5" x14ac:dyDescent="0.35"/>
  <cols>
    <col min="1" max="1" width="35.90625" customWidth="1"/>
    <col min="2" max="2" width="16.81640625" customWidth="1"/>
    <col min="3" max="3" width="23.90625" customWidth="1"/>
    <col min="4" max="4" width="12.81640625" style="5" customWidth="1"/>
    <col min="5" max="5" width="15.26953125" style="5" customWidth="1"/>
    <col min="6" max="6" width="11.1796875" customWidth="1"/>
    <col min="9" max="9" width="18.6328125" customWidth="1"/>
  </cols>
  <sheetData>
    <row r="1" spans="1:9" ht="28.5" x14ac:dyDescent="0.65">
      <c r="A1" s="4" t="s">
        <v>3</v>
      </c>
    </row>
    <row r="2" spans="1:9" ht="15" thickBot="1" x14ac:dyDescent="0.4">
      <c r="B2" s="1"/>
      <c r="C2" s="1"/>
      <c r="D2" s="7"/>
      <c r="E2" s="7"/>
      <c r="F2" s="1"/>
      <c r="G2" s="1"/>
      <c r="H2" s="1"/>
      <c r="I2" s="1"/>
    </row>
    <row r="3" spans="1:9" x14ac:dyDescent="0.35">
      <c r="A3" s="48" t="s">
        <v>9</v>
      </c>
      <c r="B3" s="49" t="s">
        <v>11</v>
      </c>
      <c r="C3" s="49" t="s">
        <v>10</v>
      </c>
      <c r="D3" s="50" t="s">
        <v>12</v>
      </c>
      <c r="E3" s="50" t="s">
        <v>13</v>
      </c>
    </row>
    <row r="4" spans="1:9" x14ac:dyDescent="0.35">
      <c r="A4" s="51" t="s">
        <v>0</v>
      </c>
      <c r="B4" s="82">
        <f>'Your Operation &amp; Profit'!B3</f>
        <v>500</v>
      </c>
      <c r="C4" s="51" t="s">
        <v>14</v>
      </c>
      <c r="D4" s="68">
        <v>3.75</v>
      </c>
      <c r="E4" s="52">
        <f t="shared" ref="E4:E9" si="0">B4*D4</f>
        <v>1875</v>
      </c>
    </row>
    <row r="5" spans="1:9" x14ac:dyDescent="0.35">
      <c r="A5" s="51" t="s">
        <v>4</v>
      </c>
      <c r="B5" s="82">
        <f>'Your Operation &amp; Profit'!B3</f>
        <v>500</v>
      </c>
      <c r="C5" s="51" t="s">
        <v>14</v>
      </c>
      <c r="D5" s="68">
        <v>0.44</v>
      </c>
      <c r="E5" s="52">
        <f t="shared" si="0"/>
        <v>220</v>
      </c>
    </row>
    <row r="6" spans="1:9" ht="14" customHeight="1" x14ac:dyDescent="0.35">
      <c r="A6" s="51" t="s">
        <v>78</v>
      </c>
      <c r="B6" s="87">
        <f>(3.7/500)*'Your Operation &amp; Profit'!B3</f>
        <v>3.7</v>
      </c>
      <c r="C6" s="51" t="s">
        <v>15</v>
      </c>
      <c r="D6" s="68">
        <v>18</v>
      </c>
      <c r="E6" s="52">
        <f t="shared" si="0"/>
        <v>66.600000000000009</v>
      </c>
    </row>
    <row r="7" spans="1:9" x14ac:dyDescent="0.35">
      <c r="A7" s="51" t="s">
        <v>17</v>
      </c>
      <c r="B7" s="51">
        <v>175</v>
      </c>
      <c r="C7" s="51" t="s">
        <v>86</v>
      </c>
      <c r="D7" s="68">
        <v>1</v>
      </c>
      <c r="E7" s="52">
        <f t="shared" si="0"/>
        <v>175</v>
      </c>
    </row>
    <row r="8" spans="1:9" x14ac:dyDescent="0.35">
      <c r="A8" s="51" t="s">
        <v>96</v>
      </c>
      <c r="B8" s="87">
        <f>(CONVERT(2.5*'Your Operation &amp; Profit'!B3*'Your Operation &amp; Profit'!B6,"lbm","g")/1000000)*0.15</f>
        <v>0.72291283968750009</v>
      </c>
      <c r="C8" s="51" t="s">
        <v>31</v>
      </c>
      <c r="D8" s="68">
        <v>874</v>
      </c>
      <c r="E8" s="52">
        <f t="shared" si="0"/>
        <v>631.82582188687502</v>
      </c>
    </row>
    <row r="9" spans="1:9" x14ac:dyDescent="0.35">
      <c r="A9" s="51" t="s">
        <v>97</v>
      </c>
      <c r="B9" s="87">
        <f>(CONVERT(2.5*'Your Operation &amp; Profit'!B3*'Your Operation &amp; Profit'!B6,"lbm","g")/1000000)*0.85</f>
        <v>4.0965060915625005</v>
      </c>
      <c r="C9" s="51" t="s">
        <v>31</v>
      </c>
      <c r="D9" s="68">
        <v>856</v>
      </c>
      <c r="E9" s="52">
        <f t="shared" si="0"/>
        <v>3506.6092143775004</v>
      </c>
    </row>
    <row r="10" spans="1:9" ht="16" customHeight="1" x14ac:dyDescent="0.35">
      <c r="A10" s="51" t="s">
        <v>87</v>
      </c>
      <c r="B10" s="51">
        <f>28</f>
        <v>28</v>
      </c>
      <c r="C10" s="51" t="s">
        <v>16</v>
      </c>
      <c r="D10" s="68">
        <f>'Your Operation &amp; Profit'!B5</f>
        <v>25</v>
      </c>
      <c r="E10" s="52">
        <f t="shared" ref="E10:E15" si="1">B10*D10</f>
        <v>700</v>
      </c>
    </row>
    <row r="11" spans="1:9" x14ac:dyDescent="0.35">
      <c r="A11" s="51" t="s">
        <v>98</v>
      </c>
      <c r="B11" s="82">
        <f>ROUND((2.25+1.5)*('Your Operation &amp; Profit'!B3/500),2)</f>
        <v>3.75</v>
      </c>
      <c r="C11" s="51" t="s">
        <v>16</v>
      </c>
      <c r="D11" s="68">
        <f>'Your Operation &amp; Profit'!B5</f>
        <v>25</v>
      </c>
      <c r="E11" s="52">
        <f t="shared" si="1"/>
        <v>93.75</v>
      </c>
    </row>
    <row r="12" spans="1:9" x14ac:dyDescent="0.35">
      <c r="A12" s="51" t="s">
        <v>25</v>
      </c>
      <c r="B12" s="82">
        <f>ROUNDDOWN('Your Operation &amp; Profit'!B3-'Your Operation &amp; Profit'!B3*'Your Operation &amp; Profit'!B9,0)</f>
        <v>450</v>
      </c>
      <c r="C12" s="51" t="s">
        <v>30</v>
      </c>
      <c r="D12" s="68">
        <v>8.5</v>
      </c>
      <c r="E12" s="52">
        <f t="shared" si="1"/>
        <v>3825</v>
      </c>
    </row>
    <row r="13" spans="1:9" x14ac:dyDescent="0.35">
      <c r="A13" s="51" t="s">
        <v>66</v>
      </c>
      <c r="B13" s="82">
        <f>ROUNDUP(B12/8, 0)</f>
        <v>57</v>
      </c>
      <c r="C13" s="51" t="s">
        <v>67</v>
      </c>
      <c r="D13" s="68">
        <v>6</v>
      </c>
      <c r="E13" s="52">
        <f t="shared" si="1"/>
        <v>342</v>
      </c>
    </row>
    <row r="14" spans="1:9" x14ac:dyDescent="0.35">
      <c r="A14" s="51" t="s">
        <v>88</v>
      </c>
      <c r="B14" s="82">
        <v>8</v>
      </c>
      <c r="C14" s="51" t="s">
        <v>90</v>
      </c>
      <c r="D14" s="68">
        <v>21</v>
      </c>
      <c r="E14" s="52">
        <f t="shared" si="1"/>
        <v>168</v>
      </c>
    </row>
    <row r="15" spans="1:9" x14ac:dyDescent="0.35">
      <c r="A15" s="51" t="s">
        <v>89</v>
      </c>
      <c r="B15" s="82">
        <v>8</v>
      </c>
      <c r="C15" s="51" t="s">
        <v>90</v>
      </c>
      <c r="D15" s="68">
        <v>5</v>
      </c>
      <c r="E15" s="52">
        <f t="shared" si="1"/>
        <v>40</v>
      </c>
    </row>
    <row r="16" spans="1:9" x14ac:dyDescent="0.35">
      <c r="A16" s="53" t="s">
        <v>32</v>
      </c>
      <c r="B16" s="54"/>
      <c r="C16" s="54"/>
      <c r="D16" s="55"/>
      <c r="E16" s="56">
        <f>SUM(E4:E15)</f>
        <v>11643.785036264375</v>
      </c>
    </row>
    <row r="18" spans="4:5" x14ac:dyDescent="0.35">
      <c r="D18"/>
      <c r="E18"/>
    </row>
    <row r="19" spans="4:5" x14ac:dyDescent="0.35">
      <c r="D19"/>
      <c r="E19"/>
    </row>
    <row r="20" spans="4:5" x14ac:dyDescent="0.35">
      <c r="D20"/>
      <c r="E20"/>
    </row>
    <row r="21" spans="4:5" x14ac:dyDescent="0.35">
      <c r="D21"/>
      <c r="E21"/>
    </row>
    <row r="22" spans="4:5" x14ac:dyDescent="0.35">
      <c r="D22"/>
      <c r="E22"/>
    </row>
    <row r="23" spans="4:5" x14ac:dyDescent="0.35">
      <c r="D23"/>
      <c r="E23"/>
    </row>
    <row r="24" spans="4:5" x14ac:dyDescent="0.35">
      <c r="D24"/>
      <c r="E24"/>
    </row>
    <row r="25" spans="4:5" x14ac:dyDescent="0.35">
      <c r="D25"/>
      <c r="E25"/>
    </row>
    <row r="26" spans="4:5" x14ac:dyDescent="0.35">
      <c r="D26"/>
      <c r="E26"/>
    </row>
    <row r="27" spans="4:5" x14ac:dyDescent="0.35">
      <c r="D27"/>
      <c r="E27"/>
    </row>
    <row r="28" spans="4:5" x14ac:dyDescent="0.35">
      <c r="D28"/>
      <c r="E28"/>
    </row>
    <row r="29" spans="4:5" x14ac:dyDescent="0.35">
      <c r="D29"/>
      <c r="E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FB19-5218-4F9F-9449-EE2EC4602BF9}">
  <dimension ref="A1:M40"/>
  <sheetViews>
    <sheetView zoomScale="76" zoomScaleNormal="150" workbookViewId="0">
      <selection activeCell="A27" sqref="A27"/>
    </sheetView>
  </sheetViews>
  <sheetFormatPr defaultRowHeight="14.5" x14ac:dyDescent="0.35"/>
  <cols>
    <col min="1" max="1" width="32" customWidth="1"/>
    <col min="2" max="2" width="42.90625" customWidth="1"/>
    <col min="3" max="3" width="11.453125" customWidth="1"/>
    <col min="4" max="4" width="15.26953125" customWidth="1"/>
    <col min="5" max="5" width="14.90625" customWidth="1"/>
    <col min="6" max="6" width="10.7265625" customWidth="1"/>
    <col min="7" max="7" width="14.6328125" customWidth="1"/>
    <col min="9" max="10" width="11.36328125" style="6" customWidth="1"/>
    <col min="11" max="11" width="9.90625" customWidth="1"/>
    <col min="12" max="12" width="12.1796875" customWidth="1"/>
    <col min="13" max="13" width="12.54296875" customWidth="1"/>
  </cols>
  <sheetData>
    <row r="1" spans="1:13" ht="26" x14ac:dyDescent="0.6">
      <c r="A1" s="38" t="s">
        <v>65</v>
      </c>
    </row>
    <row r="2" spans="1:13" ht="15" thickBot="1" x14ac:dyDescent="0.4">
      <c r="A2" s="9"/>
      <c r="B2" s="9"/>
      <c r="C2" s="9"/>
      <c r="D2" s="9"/>
      <c r="E2" s="9"/>
      <c r="F2" s="9"/>
      <c r="G2" s="9"/>
      <c r="H2" s="9"/>
      <c r="I2" s="31"/>
      <c r="J2" s="31"/>
      <c r="K2" s="9"/>
      <c r="L2" s="9"/>
      <c r="M2" s="9"/>
    </row>
    <row r="3" spans="1:13" ht="48.5" thickBot="1" x14ac:dyDescent="0.4">
      <c r="A3" s="41" t="s">
        <v>40</v>
      </c>
      <c r="B3" s="25" t="s">
        <v>39</v>
      </c>
      <c r="C3" s="25" t="s">
        <v>11</v>
      </c>
      <c r="D3" s="25" t="s">
        <v>41</v>
      </c>
      <c r="E3" s="42" t="s">
        <v>82</v>
      </c>
      <c r="F3" s="42" t="s">
        <v>47</v>
      </c>
      <c r="G3" s="42" t="s">
        <v>42</v>
      </c>
      <c r="H3" s="25" t="s">
        <v>43</v>
      </c>
      <c r="I3" s="43" t="s">
        <v>77</v>
      </c>
      <c r="J3" s="43" t="s">
        <v>37</v>
      </c>
      <c r="K3" s="25" t="s">
        <v>44</v>
      </c>
      <c r="L3" s="25" t="s">
        <v>45</v>
      </c>
      <c r="M3" s="25" t="s">
        <v>46</v>
      </c>
    </row>
    <row r="4" spans="1:13" x14ac:dyDescent="0.35">
      <c r="A4" s="28" t="s">
        <v>48</v>
      </c>
      <c r="B4" s="29"/>
      <c r="C4" s="29"/>
      <c r="D4" s="29"/>
      <c r="E4" s="29"/>
      <c r="F4" s="29"/>
      <c r="G4" s="29"/>
      <c r="H4" s="29"/>
      <c r="I4" s="40"/>
      <c r="J4" s="40"/>
      <c r="K4" s="29"/>
      <c r="L4" s="29"/>
      <c r="M4" s="29"/>
    </row>
    <row r="5" spans="1:13" ht="58" x14ac:dyDescent="0.35">
      <c r="A5" s="10" t="s">
        <v>38</v>
      </c>
      <c r="B5" s="37" t="s">
        <v>142</v>
      </c>
      <c r="C5" s="11">
        <v>1</v>
      </c>
      <c r="D5" s="30">
        <v>10000</v>
      </c>
      <c r="E5" s="80">
        <f>C5*D5</f>
        <v>10000</v>
      </c>
      <c r="F5" s="33">
        <v>0.3</v>
      </c>
      <c r="G5" s="80">
        <f t="shared" ref="G5:G12" si="0">E5*F5</f>
        <v>3000</v>
      </c>
      <c r="H5" s="17">
        <v>15</v>
      </c>
      <c r="I5" s="33">
        <v>0.15</v>
      </c>
      <c r="J5" s="35">
        <v>0.05</v>
      </c>
      <c r="K5" s="12">
        <f t="shared" ref="K5:K12" si="1">(E5-G5)/H5</f>
        <v>466.66666666666669</v>
      </c>
      <c r="L5" s="13">
        <f t="shared" ref="L5:L12" si="2">J5*(E5+G5)/2</f>
        <v>325</v>
      </c>
      <c r="M5" s="14">
        <f>(K5+L5)*I5</f>
        <v>118.75</v>
      </c>
    </row>
    <row r="6" spans="1:13" x14ac:dyDescent="0.35">
      <c r="A6" s="10" t="s">
        <v>92</v>
      </c>
      <c r="B6" s="11"/>
      <c r="C6" s="11">
        <v>1</v>
      </c>
      <c r="D6" s="30">
        <v>300</v>
      </c>
      <c r="E6" s="80">
        <f t="shared" ref="E6:E12" si="3">C6*D6</f>
        <v>300</v>
      </c>
      <c r="F6" s="33">
        <v>0.3</v>
      </c>
      <c r="G6" s="80">
        <f t="shared" si="0"/>
        <v>90</v>
      </c>
      <c r="H6" s="17">
        <v>10</v>
      </c>
      <c r="I6" s="33">
        <v>1</v>
      </c>
      <c r="J6" s="35">
        <v>0.05</v>
      </c>
      <c r="K6" s="12">
        <f t="shared" si="1"/>
        <v>21</v>
      </c>
      <c r="L6" s="13">
        <f t="shared" si="2"/>
        <v>9.75</v>
      </c>
      <c r="M6" s="14">
        <f t="shared" ref="M6:M12" si="4">(K6+L6)*I6</f>
        <v>30.75</v>
      </c>
    </row>
    <row r="7" spans="1:13" x14ac:dyDescent="0.35">
      <c r="A7" s="10" t="s">
        <v>91</v>
      </c>
      <c r="B7" s="11" t="s">
        <v>102</v>
      </c>
      <c r="C7" s="11">
        <v>1</v>
      </c>
      <c r="D7" s="30">
        <v>120</v>
      </c>
      <c r="E7" s="80">
        <f t="shared" ref="E7" si="5">C7*D7</f>
        <v>120</v>
      </c>
      <c r="F7" s="33">
        <v>0.3</v>
      </c>
      <c r="G7" s="80">
        <f t="shared" si="0"/>
        <v>36</v>
      </c>
      <c r="H7" s="17">
        <v>10</v>
      </c>
      <c r="I7" s="33">
        <v>1</v>
      </c>
      <c r="J7" s="35">
        <v>0.05</v>
      </c>
      <c r="K7" s="12">
        <f t="shared" ref="K7" si="6">(E7-G7)/H7</f>
        <v>8.4</v>
      </c>
      <c r="L7" s="13">
        <f t="shared" si="2"/>
        <v>3.9000000000000004</v>
      </c>
      <c r="M7" s="14">
        <f t="shared" si="4"/>
        <v>12.3</v>
      </c>
    </row>
    <row r="8" spans="1:13" x14ac:dyDescent="0.35">
      <c r="A8" s="10" t="s">
        <v>167</v>
      </c>
      <c r="B8" s="11"/>
      <c r="C8" s="11">
        <v>1</v>
      </c>
      <c r="D8" s="30">
        <v>200</v>
      </c>
      <c r="E8" s="80">
        <f t="shared" si="3"/>
        <v>200</v>
      </c>
      <c r="F8" s="33">
        <v>0.3</v>
      </c>
      <c r="G8" s="80">
        <f t="shared" si="0"/>
        <v>60</v>
      </c>
      <c r="H8" s="17">
        <v>5</v>
      </c>
      <c r="I8" s="33">
        <v>1</v>
      </c>
      <c r="J8" s="35">
        <v>0.05</v>
      </c>
      <c r="K8" s="12">
        <f t="shared" si="1"/>
        <v>28</v>
      </c>
      <c r="L8" s="13">
        <f t="shared" si="2"/>
        <v>6.5</v>
      </c>
      <c r="M8" s="14">
        <f t="shared" si="4"/>
        <v>34.5</v>
      </c>
    </row>
    <row r="9" spans="1:13" x14ac:dyDescent="0.35">
      <c r="A9" s="10" t="s">
        <v>50</v>
      </c>
      <c r="B9" s="11" t="s">
        <v>49</v>
      </c>
      <c r="C9" s="85">
        <f>'Your Operation &amp; Profit'!B12</f>
        <v>1</v>
      </c>
      <c r="D9" s="30">
        <v>4500</v>
      </c>
      <c r="E9" s="80">
        <f t="shared" si="3"/>
        <v>4500</v>
      </c>
      <c r="F9" s="33">
        <v>0.2</v>
      </c>
      <c r="G9" s="80">
        <f t="shared" si="0"/>
        <v>900</v>
      </c>
      <c r="H9" s="17">
        <v>5</v>
      </c>
      <c r="I9" s="33">
        <v>1</v>
      </c>
      <c r="J9" s="35">
        <v>0.05</v>
      </c>
      <c r="K9" s="12">
        <f t="shared" si="1"/>
        <v>720</v>
      </c>
      <c r="L9" s="13">
        <f t="shared" si="2"/>
        <v>135</v>
      </c>
      <c r="M9" s="14">
        <f t="shared" si="4"/>
        <v>855</v>
      </c>
    </row>
    <row r="10" spans="1:13" x14ac:dyDescent="0.35">
      <c r="A10" s="10" t="s">
        <v>36</v>
      </c>
      <c r="B10" s="11" t="s">
        <v>111</v>
      </c>
      <c r="C10" s="85">
        <f>4*'Your Operation &amp; Profit'!B12</f>
        <v>4</v>
      </c>
      <c r="D10" s="30">
        <v>200</v>
      </c>
      <c r="E10" s="80">
        <f t="shared" si="3"/>
        <v>800</v>
      </c>
      <c r="F10" s="33">
        <v>0.5</v>
      </c>
      <c r="G10" s="80">
        <f t="shared" si="0"/>
        <v>400</v>
      </c>
      <c r="H10" s="17">
        <v>5</v>
      </c>
      <c r="I10" s="33">
        <v>1</v>
      </c>
      <c r="J10" s="35">
        <v>0.05</v>
      </c>
      <c r="K10" s="12">
        <f t="shared" si="1"/>
        <v>80</v>
      </c>
      <c r="L10" s="13">
        <f t="shared" si="2"/>
        <v>30</v>
      </c>
      <c r="M10" s="14">
        <f t="shared" si="4"/>
        <v>110</v>
      </c>
    </row>
    <row r="11" spans="1:13" x14ac:dyDescent="0.35">
      <c r="A11" s="15" t="s">
        <v>24</v>
      </c>
      <c r="B11" s="16"/>
      <c r="C11" s="85">
        <f>'Your Operation &amp; Profit'!B12</f>
        <v>1</v>
      </c>
      <c r="D11" s="30">
        <v>300</v>
      </c>
      <c r="E11" s="80">
        <f t="shared" si="3"/>
        <v>300</v>
      </c>
      <c r="F11" s="33">
        <v>0.5</v>
      </c>
      <c r="G11" s="80">
        <f t="shared" si="0"/>
        <v>150</v>
      </c>
      <c r="H11" s="17">
        <v>5</v>
      </c>
      <c r="I11" s="33">
        <v>1</v>
      </c>
      <c r="J11" s="35">
        <v>0.05</v>
      </c>
      <c r="K11" s="12">
        <f t="shared" si="1"/>
        <v>30</v>
      </c>
      <c r="L11" s="13">
        <f t="shared" si="2"/>
        <v>11.25</v>
      </c>
      <c r="M11" s="14">
        <f t="shared" si="4"/>
        <v>41.25</v>
      </c>
    </row>
    <row r="12" spans="1:13" ht="29" x14ac:dyDescent="0.35">
      <c r="A12" s="10" t="s">
        <v>5</v>
      </c>
      <c r="B12" s="37" t="s">
        <v>112</v>
      </c>
      <c r="C12" s="85">
        <f>'Your Operation &amp; Profit'!B12</f>
        <v>1</v>
      </c>
      <c r="D12" s="30">
        <v>20</v>
      </c>
      <c r="E12" s="80">
        <f t="shared" si="3"/>
        <v>20</v>
      </c>
      <c r="F12" s="33">
        <v>0</v>
      </c>
      <c r="G12" s="80">
        <f t="shared" si="0"/>
        <v>0</v>
      </c>
      <c r="H12" s="17">
        <v>7</v>
      </c>
      <c r="I12" s="33">
        <v>1</v>
      </c>
      <c r="J12" s="35">
        <v>0.05</v>
      </c>
      <c r="K12" s="12">
        <f t="shared" si="1"/>
        <v>2.8571428571428572</v>
      </c>
      <c r="L12" s="13">
        <f t="shared" si="2"/>
        <v>0.5</v>
      </c>
      <c r="M12" s="14">
        <f t="shared" si="4"/>
        <v>3.3571428571428572</v>
      </c>
    </row>
    <row r="13" spans="1:13" ht="15" thickBot="1" x14ac:dyDescent="0.4">
      <c r="A13" s="18" t="s">
        <v>54</v>
      </c>
      <c r="B13" s="19"/>
      <c r="C13" s="19"/>
      <c r="D13" s="19"/>
      <c r="E13" s="20"/>
      <c r="F13" s="20"/>
      <c r="G13" s="20"/>
      <c r="H13" s="21"/>
      <c r="I13" s="34"/>
      <c r="J13" s="36"/>
      <c r="K13" s="22"/>
      <c r="L13" s="23"/>
      <c r="M13" s="44">
        <f>SUM(M5:M12)</f>
        <v>1205.9071428571428</v>
      </c>
    </row>
    <row r="14" spans="1:13" ht="15" thickBot="1" x14ac:dyDescent="0.4">
      <c r="A14" s="24"/>
      <c r="B14" s="9"/>
      <c r="C14" s="9"/>
      <c r="D14" s="9"/>
      <c r="E14" s="9"/>
      <c r="F14" s="9"/>
      <c r="G14" s="9"/>
      <c r="H14" s="9"/>
      <c r="I14" s="39"/>
      <c r="J14" s="39"/>
      <c r="K14" s="9"/>
      <c r="L14" s="9"/>
      <c r="M14" s="9"/>
    </row>
    <row r="15" spans="1:13" x14ac:dyDescent="0.35">
      <c r="A15" s="26" t="s">
        <v>51</v>
      </c>
      <c r="B15" s="27"/>
      <c r="C15" s="27"/>
      <c r="D15" s="27"/>
      <c r="E15" s="27"/>
      <c r="F15" s="27"/>
      <c r="G15" s="27"/>
      <c r="H15" s="27"/>
      <c r="I15" s="32"/>
      <c r="J15" s="32"/>
      <c r="K15" s="27"/>
      <c r="L15" s="27"/>
      <c r="M15" s="27"/>
    </row>
    <row r="16" spans="1:13" x14ac:dyDescent="0.35">
      <c r="A16" s="10" t="s">
        <v>52</v>
      </c>
      <c r="B16" s="11" t="s">
        <v>53</v>
      </c>
      <c r="C16" s="11">
        <v>1</v>
      </c>
      <c r="D16" s="30">
        <v>15000</v>
      </c>
      <c r="E16" s="80">
        <f>C16*D16</f>
        <v>15000</v>
      </c>
      <c r="F16" s="33">
        <v>0.7</v>
      </c>
      <c r="G16" s="80">
        <f>E16*F16</f>
        <v>10500</v>
      </c>
      <c r="H16" s="17">
        <v>25</v>
      </c>
      <c r="I16" s="33">
        <v>0.1</v>
      </c>
      <c r="J16" s="35">
        <v>0.05</v>
      </c>
      <c r="K16" s="12">
        <f>(E16-G16)/H16</f>
        <v>180</v>
      </c>
      <c r="L16" s="13">
        <f>J16*(E16+G16)/2</f>
        <v>637.5</v>
      </c>
      <c r="M16" s="14">
        <f>(K16+L16)*I16</f>
        <v>81.75</v>
      </c>
    </row>
    <row r="17" spans="1:13" x14ac:dyDescent="0.35">
      <c r="A17" s="10" t="s">
        <v>19</v>
      </c>
      <c r="B17" s="11" t="s">
        <v>93</v>
      </c>
      <c r="C17" s="11">
        <v>1</v>
      </c>
      <c r="D17" s="30">
        <v>1000</v>
      </c>
      <c r="E17" s="80">
        <f t="shared" ref="E17:E19" si="7">C17*D17</f>
        <v>1000</v>
      </c>
      <c r="F17" s="33">
        <v>0.7</v>
      </c>
      <c r="G17" s="80">
        <f>E17*F17</f>
        <v>700</v>
      </c>
      <c r="H17" s="17">
        <v>25</v>
      </c>
      <c r="I17" s="33">
        <v>0.1</v>
      </c>
      <c r="J17" s="35">
        <v>0.05</v>
      </c>
      <c r="K17" s="12">
        <f>(E17-G17)/H17</f>
        <v>12</v>
      </c>
      <c r="L17" s="13">
        <f>J17*(E17+G17)/2</f>
        <v>42.5</v>
      </c>
      <c r="M17" s="14">
        <f t="shared" ref="M17:M19" si="8">(K17+L17)*I17</f>
        <v>5.45</v>
      </c>
    </row>
    <row r="18" spans="1:13" x14ac:dyDescent="0.35">
      <c r="A18" s="10" t="s">
        <v>20</v>
      </c>
      <c r="B18" s="11" t="s">
        <v>93</v>
      </c>
      <c r="C18" s="11">
        <v>1</v>
      </c>
      <c r="D18" s="30">
        <v>1000</v>
      </c>
      <c r="E18" s="80">
        <f t="shared" si="7"/>
        <v>1000</v>
      </c>
      <c r="F18" s="33">
        <v>0.7</v>
      </c>
      <c r="G18" s="80">
        <f>E18*F18</f>
        <v>700</v>
      </c>
      <c r="H18" s="17">
        <v>25</v>
      </c>
      <c r="I18" s="33">
        <v>0.1</v>
      </c>
      <c r="J18" s="35">
        <v>0.05</v>
      </c>
      <c r="K18" s="12">
        <f>(E18-G18)/H18</f>
        <v>12</v>
      </c>
      <c r="L18" s="13">
        <f>J18*(E18+G18)/2</f>
        <v>42.5</v>
      </c>
      <c r="M18" s="14">
        <f t="shared" si="8"/>
        <v>5.45</v>
      </c>
    </row>
    <row r="19" spans="1:13" x14ac:dyDescent="0.35">
      <c r="A19" s="10" t="s">
        <v>21</v>
      </c>
      <c r="B19" s="11" t="s">
        <v>93</v>
      </c>
      <c r="C19" s="11">
        <v>1</v>
      </c>
      <c r="D19" s="30">
        <v>1000</v>
      </c>
      <c r="E19" s="80">
        <f t="shared" si="7"/>
        <v>1000</v>
      </c>
      <c r="F19" s="33">
        <v>0.7</v>
      </c>
      <c r="G19" s="80">
        <f>E19*F19</f>
        <v>700</v>
      </c>
      <c r="H19" s="17">
        <v>25</v>
      </c>
      <c r="I19" s="33">
        <v>0.1</v>
      </c>
      <c r="J19" s="35">
        <v>0.05</v>
      </c>
      <c r="K19" s="12">
        <f>(E19-G19)/H19</f>
        <v>12</v>
      </c>
      <c r="L19" s="13">
        <f>J19*(E19+G19)/2</f>
        <v>42.5</v>
      </c>
      <c r="M19" s="14">
        <f t="shared" si="8"/>
        <v>5.45</v>
      </c>
    </row>
    <row r="20" spans="1:13" ht="15" thickBot="1" x14ac:dyDescent="0.4">
      <c r="A20" s="18" t="s">
        <v>55</v>
      </c>
      <c r="B20" s="19"/>
      <c r="C20" s="19"/>
      <c r="D20" s="19"/>
      <c r="E20" s="20"/>
      <c r="F20" s="20"/>
      <c r="G20" s="20"/>
      <c r="H20" s="21"/>
      <c r="I20" s="34"/>
      <c r="J20" s="36"/>
      <c r="K20" s="22"/>
      <c r="L20" s="23"/>
      <c r="M20" s="44">
        <f>SUM(M16:M19)</f>
        <v>98.100000000000009</v>
      </c>
    </row>
    <row r="21" spans="1:13" ht="15" thickBot="1" x14ac:dyDescent="0.4">
      <c r="A21" s="8"/>
      <c r="I21"/>
      <c r="J21"/>
    </row>
    <row r="22" spans="1:13" x14ac:dyDescent="0.35">
      <c r="A22" s="26" t="s">
        <v>56</v>
      </c>
      <c r="B22" s="27"/>
      <c r="C22" s="27"/>
      <c r="D22" s="27"/>
      <c r="E22" s="27"/>
      <c r="F22" s="27"/>
      <c r="G22" s="27"/>
      <c r="H22" s="27"/>
      <c r="I22" s="32"/>
      <c r="J22" s="32"/>
      <c r="K22" s="27"/>
      <c r="L22" s="27"/>
      <c r="M22" s="27"/>
    </row>
    <row r="23" spans="1:13" ht="29" x14ac:dyDescent="0.35">
      <c r="A23" s="10" t="s">
        <v>34</v>
      </c>
      <c r="B23" s="37" t="s">
        <v>64</v>
      </c>
      <c r="C23" s="86">
        <f>ROUNDUP(('Your Operation &amp; Profit'!B3*0.75)/150,0)</f>
        <v>3</v>
      </c>
      <c r="D23" s="81">
        <v>1000</v>
      </c>
      <c r="E23" s="80">
        <f>C23*D23</f>
        <v>3000</v>
      </c>
      <c r="F23" s="33">
        <v>1</v>
      </c>
      <c r="G23" s="80">
        <f>E23*F23</f>
        <v>3000</v>
      </c>
      <c r="H23" s="17">
        <v>10</v>
      </c>
      <c r="I23" s="33">
        <v>1</v>
      </c>
      <c r="J23" s="35">
        <v>0.05</v>
      </c>
      <c r="K23" s="12">
        <f>(E23-G23)/H23</f>
        <v>0</v>
      </c>
      <c r="L23" s="13">
        <f>J23*(E23+G23)/2</f>
        <v>150</v>
      </c>
      <c r="M23" s="14">
        <f>(K23+L23)*I23</f>
        <v>150</v>
      </c>
    </row>
    <row r="24" spans="1:13" x14ac:dyDescent="0.35">
      <c r="A24" s="10" t="s">
        <v>95</v>
      </c>
      <c r="B24" s="11" t="s">
        <v>94</v>
      </c>
      <c r="C24" s="11">
        <v>1</v>
      </c>
      <c r="D24" s="30">
        <v>100</v>
      </c>
      <c r="E24" s="80">
        <f t="shared" ref="E24:E27" si="9">C24*D24</f>
        <v>100</v>
      </c>
      <c r="F24" s="33">
        <v>1</v>
      </c>
      <c r="G24" s="80">
        <f>E24*F24</f>
        <v>100</v>
      </c>
      <c r="H24" s="17">
        <v>1</v>
      </c>
      <c r="I24" s="33">
        <v>1</v>
      </c>
      <c r="J24" s="35">
        <v>1</v>
      </c>
      <c r="K24" s="12">
        <f>(E24-G24)/H24</f>
        <v>0</v>
      </c>
      <c r="L24" s="13">
        <f>J24*(E24+G24)/2</f>
        <v>100</v>
      </c>
      <c r="M24" s="14">
        <f>(K24+L24)*I24</f>
        <v>100</v>
      </c>
    </row>
    <row r="25" spans="1:13" x14ac:dyDescent="0.35">
      <c r="A25" s="10" t="s">
        <v>58</v>
      </c>
      <c r="B25" s="11" t="s">
        <v>59</v>
      </c>
      <c r="C25" s="11">
        <v>1</v>
      </c>
      <c r="D25" s="30">
        <v>3500</v>
      </c>
      <c r="E25" s="80">
        <f t="shared" si="9"/>
        <v>3500</v>
      </c>
      <c r="F25" s="33">
        <v>0.15</v>
      </c>
      <c r="G25" s="80">
        <f>E25*F25</f>
        <v>525</v>
      </c>
      <c r="H25" s="17">
        <v>15</v>
      </c>
      <c r="I25" s="33">
        <v>0.5</v>
      </c>
      <c r="J25" s="35">
        <v>0.05</v>
      </c>
      <c r="K25" s="12">
        <f>(E25-G25)/H25</f>
        <v>198.33333333333334</v>
      </c>
      <c r="L25" s="13">
        <f>J25*(E25+G25)/2</f>
        <v>100.625</v>
      </c>
      <c r="M25" s="14">
        <f t="shared" ref="M25:M27" si="10">(K25+L25)*I25</f>
        <v>149.47916666666669</v>
      </c>
    </row>
    <row r="26" spans="1:13" x14ac:dyDescent="0.35">
      <c r="A26" s="10" t="s">
        <v>61</v>
      </c>
      <c r="B26" s="11" t="s">
        <v>60</v>
      </c>
      <c r="C26" s="11">
        <v>1</v>
      </c>
      <c r="D26" s="30">
        <v>25000</v>
      </c>
      <c r="E26" s="80">
        <f t="shared" si="9"/>
        <v>25000</v>
      </c>
      <c r="F26" s="33">
        <v>0.3</v>
      </c>
      <c r="G26" s="80">
        <f>E26*F26</f>
        <v>7500</v>
      </c>
      <c r="H26" s="17">
        <v>10</v>
      </c>
      <c r="I26" s="33">
        <v>0.1</v>
      </c>
      <c r="J26" s="35">
        <v>0.05</v>
      </c>
      <c r="K26" s="12">
        <f>(E26-G26)/H26</f>
        <v>1750</v>
      </c>
      <c r="L26" s="13">
        <f>J26*(E26+G26)/2</f>
        <v>812.5</v>
      </c>
      <c r="M26" s="14">
        <f t="shared" si="10"/>
        <v>256.25</v>
      </c>
    </row>
    <row r="27" spans="1:13" x14ac:dyDescent="0.35">
      <c r="A27" s="10" t="s">
        <v>62</v>
      </c>
      <c r="B27" s="11" t="s">
        <v>63</v>
      </c>
      <c r="C27" s="11">
        <v>1</v>
      </c>
      <c r="D27" s="30">
        <v>4000</v>
      </c>
      <c r="E27" s="80">
        <f t="shared" si="9"/>
        <v>4000</v>
      </c>
      <c r="F27" s="33">
        <v>0.3</v>
      </c>
      <c r="G27" s="80">
        <f>E27*F27</f>
        <v>1200</v>
      </c>
      <c r="H27" s="17">
        <v>10</v>
      </c>
      <c r="I27" s="33">
        <v>0.5</v>
      </c>
      <c r="J27" s="35">
        <v>0.05</v>
      </c>
      <c r="K27" s="12">
        <f>(E27-G27)/H27</f>
        <v>280</v>
      </c>
      <c r="L27" s="13">
        <f>J27*(E27+G27)/2</f>
        <v>130</v>
      </c>
      <c r="M27" s="14">
        <f t="shared" si="10"/>
        <v>205</v>
      </c>
    </row>
    <row r="28" spans="1:13" ht="15" thickBot="1" x14ac:dyDescent="0.4">
      <c r="A28" s="18" t="s">
        <v>57</v>
      </c>
      <c r="B28" s="19"/>
      <c r="C28" s="19"/>
      <c r="D28" s="19"/>
      <c r="E28" s="20"/>
      <c r="F28" s="20"/>
      <c r="G28" s="20"/>
      <c r="H28" s="21"/>
      <c r="I28" s="34"/>
      <c r="J28" s="36"/>
      <c r="K28" s="22"/>
      <c r="L28" s="23"/>
      <c r="M28" s="44">
        <f>SUM(M23:M27)</f>
        <v>860.72916666666674</v>
      </c>
    </row>
    <row r="29" spans="1:13" ht="15" thickBot="1" x14ac:dyDescent="0.4">
      <c r="I29"/>
      <c r="J29"/>
    </row>
    <row r="30" spans="1:13" ht="15" thickBot="1" x14ac:dyDescent="0.4">
      <c r="A30" s="45" t="s">
        <v>68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>
        <f>SUM(M13,M20,M28)</f>
        <v>2164.7363095238097</v>
      </c>
    </row>
    <row r="31" spans="1:13" x14ac:dyDescent="0.35">
      <c r="I31"/>
      <c r="J31"/>
    </row>
    <row r="32" spans="1:13" x14ac:dyDescent="0.35">
      <c r="I32"/>
      <c r="J32"/>
    </row>
    <row r="33" spans="9:10" x14ac:dyDescent="0.35">
      <c r="I33"/>
      <c r="J33"/>
    </row>
    <row r="34" spans="9:10" x14ac:dyDescent="0.35">
      <c r="I34"/>
      <c r="J34"/>
    </row>
    <row r="35" spans="9:10" x14ac:dyDescent="0.35">
      <c r="I35"/>
      <c r="J35"/>
    </row>
    <row r="36" spans="9:10" x14ac:dyDescent="0.35">
      <c r="I36"/>
      <c r="J36"/>
    </row>
    <row r="37" spans="9:10" x14ac:dyDescent="0.35">
      <c r="I37"/>
      <c r="J37"/>
    </row>
    <row r="38" spans="9:10" x14ac:dyDescent="0.35">
      <c r="I38"/>
      <c r="J38"/>
    </row>
    <row r="39" spans="9:10" x14ac:dyDescent="0.35">
      <c r="I39"/>
      <c r="J39"/>
    </row>
    <row r="40" spans="9:10" x14ac:dyDescent="0.35">
      <c r="I40"/>
      <c r="J40"/>
    </row>
  </sheetData>
  <dataValidations count="1">
    <dataValidation type="decimal" allowBlank="1" showInputMessage="1" showErrorMessage="1" sqref="D25:D27 E23:J27 D16:J19 D5:J12" xr:uid="{493D0A05-8E71-4D95-B896-60957F6AAC0B}">
      <formula1>0</formula1>
      <formula2>999999999999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4A3E-53E1-4EE3-AD3E-606AD85232FC}">
  <dimension ref="A1:E19"/>
  <sheetViews>
    <sheetView tabSelected="1" zoomScale="94" zoomScaleNormal="150" workbookViewId="0">
      <selection activeCell="A8" sqref="A8"/>
    </sheetView>
  </sheetViews>
  <sheetFormatPr defaultRowHeight="14.5" x14ac:dyDescent="0.35"/>
  <cols>
    <col min="1" max="1" width="41.6328125" customWidth="1"/>
    <col min="2" max="2" width="13" customWidth="1"/>
    <col min="3" max="3" width="24" customWidth="1"/>
    <col min="4" max="4" width="13.6328125" customWidth="1"/>
    <col min="5" max="5" width="14" customWidth="1"/>
    <col min="6" max="6" width="65.81640625" customWidth="1"/>
  </cols>
  <sheetData>
    <row r="1" spans="1:5" ht="28.5" x14ac:dyDescent="0.65">
      <c r="A1" s="4" t="s">
        <v>35</v>
      </c>
    </row>
    <row r="2" spans="1:5" ht="15" thickBot="1" x14ac:dyDescent="0.4"/>
    <row r="3" spans="1:5" x14ac:dyDescent="0.35">
      <c r="A3" s="59" t="s">
        <v>1</v>
      </c>
      <c r="B3" s="60" t="s">
        <v>11</v>
      </c>
      <c r="C3" s="60" t="s">
        <v>10</v>
      </c>
      <c r="D3" s="60" t="s">
        <v>27</v>
      </c>
      <c r="E3" s="60" t="s">
        <v>28</v>
      </c>
    </row>
    <row r="4" spans="1:5" x14ac:dyDescent="0.35">
      <c r="A4" s="64" t="s">
        <v>7</v>
      </c>
      <c r="B4" s="100">
        <f>'Your Operation &amp; Profit'!B11</f>
        <v>0.5</v>
      </c>
      <c r="C4" s="65" t="s">
        <v>29</v>
      </c>
      <c r="D4" s="66">
        <v>140</v>
      </c>
      <c r="E4" s="73">
        <f>B4*D4</f>
        <v>70</v>
      </c>
    </row>
    <row r="5" spans="1:5" x14ac:dyDescent="0.35">
      <c r="A5" s="75" t="s">
        <v>76</v>
      </c>
      <c r="B5" s="71"/>
      <c r="C5" s="71"/>
      <c r="D5" s="72"/>
      <c r="E5" s="72">
        <f>SUM(E4)</f>
        <v>70</v>
      </c>
    </row>
    <row r="6" spans="1:5" x14ac:dyDescent="0.35">
      <c r="A6" s="8"/>
    </row>
    <row r="7" spans="1:5" x14ac:dyDescent="0.35">
      <c r="A7" s="61" t="s">
        <v>2</v>
      </c>
      <c r="B7" s="62" t="s">
        <v>11</v>
      </c>
      <c r="C7" s="62" t="s">
        <v>10</v>
      </c>
      <c r="D7" s="62" t="s">
        <v>27</v>
      </c>
      <c r="E7" s="62" t="s">
        <v>28</v>
      </c>
    </row>
    <row r="8" spans="1:5" x14ac:dyDescent="0.35">
      <c r="A8" s="67" t="s">
        <v>6</v>
      </c>
      <c r="B8" s="51">
        <v>8</v>
      </c>
      <c r="C8" s="51" t="s">
        <v>72</v>
      </c>
      <c r="D8" s="68">
        <f>'Your Operation &amp; Profit'!B5</f>
        <v>25</v>
      </c>
      <c r="E8" s="74">
        <f>B8*D8</f>
        <v>200</v>
      </c>
    </row>
    <row r="9" spans="1:5" x14ac:dyDescent="0.35">
      <c r="A9" s="67" t="s">
        <v>23</v>
      </c>
      <c r="B9" s="51">
        <v>4</v>
      </c>
      <c r="C9" s="51" t="s">
        <v>138</v>
      </c>
      <c r="D9" s="68">
        <v>75</v>
      </c>
      <c r="E9" s="74">
        <f t="shared" ref="E9:E10" si="0">B9*D9</f>
        <v>300</v>
      </c>
    </row>
    <row r="10" spans="1:5" x14ac:dyDescent="0.35">
      <c r="A10" s="67" t="s">
        <v>22</v>
      </c>
      <c r="B10" s="82">
        <f>B9*7</f>
        <v>28</v>
      </c>
      <c r="C10" s="51" t="s">
        <v>72</v>
      </c>
      <c r="D10" s="68">
        <f>'Your Operation &amp; Profit'!B5</f>
        <v>25</v>
      </c>
      <c r="E10" s="74">
        <f t="shared" si="0"/>
        <v>700</v>
      </c>
    </row>
    <row r="11" spans="1:5" x14ac:dyDescent="0.35">
      <c r="A11" s="57" t="s">
        <v>75</v>
      </c>
      <c r="B11" s="58"/>
      <c r="C11" s="58"/>
      <c r="D11" s="69"/>
      <c r="E11" s="70">
        <f>SUM(E8:E10)</f>
        <v>1200</v>
      </c>
    </row>
    <row r="12" spans="1:5" x14ac:dyDescent="0.35">
      <c r="A12" s="8"/>
    </row>
    <row r="13" spans="1:5" x14ac:dyDescent="0.35">
      <c r="A13" s="61" t="s">
        <v>33</v>
      </c>
      <c r="B13" s="63"/>
      <c r="C13" s="63"/>
      <c r="D13" s="63"/>
      <c r="E13" s="62" t="s">
        <v>13</v>
      </c>
    </row>
    <row r="14" spans="1:5" x14ac:dyDescent="0.35">
      <c r="A14" s="67" t="s">
        <v>99</v>
      </c>
      <c r="B14" s="51"/>
      <c r="C14" s="51"/>
      <c r="D14" s="51"/>
      <c r="E14" s="68">
        <v>850</v>
      </c>
    </row>
    <row r="15" spans="1:5" x14ac:dyDescent="0.35">
      <c r="A15" s="67" t="s">
        <v>26</v>
      </c>
      <c r="B15" s="51"/>
      <c r="C15" s="51"/>
      <c r="D15" s="51"/>
      <c r="E15" s="68">
        <v>20</v>
      </c>
    </row>
    <row r="16" spans="1:5" x14ac:dyDescent="0.35">
      <c r="A16" s="67" t="s">
        <v>18</v>
      </c>
      <c r="B16" s="51"/>
      <c r="C16" s="51"/>
      <c r="D16" s="51"/>
      <c r="E16" s="68">
        <v>125</v>
      </c>
    </row>
    <row r="17" spans="1:5" ht="15" thickBot="1" x14ac:dyDescent="0.4">
      <c r="A17" s="76" t="s">
        <v>74</v>
      </c>
      <c r="B17" s="78"/>
      <c r="C17" s="78"/>
      <c r="D17" s="78"/>
      <c r="E17" s="77">
        <f>SUM(E14:E16)</f>
        <v>995</v>
      </c>
    </row>
    <row r="18" spans="1:5" ht="15" thickBot="1" x14ac:dyDescent="0.4"/>
    <row r="19" spans="1:5" ht="15" thickBot="1" x14ac:dyDescent="0.4">
      <c r="A19" s="45" t="s">
        <v>73</v>
      </c>
      <c r="B19" s="46"/>
      <c r="C19" s="46"/>
      <c r="D19" s="46"/>
      <c r="E19" s="79">
        <f>SUM(E5+E11+E17)</f>
        <v>2265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52FE-7211-475D-86B8-192C5F182CEB}">
  <dimension ref="A1:I59"/>
  <sheetViews>
    <sheetView topLeftCell="A32" workbookViewId="0">
      <selection activeCell="A3" sqref="A3:I3"/>
    </sheetView>
  </sheetViews>
  <sheetFormatPr defaultRowHeight="14.5" x14ac:dyDescent="0.35"/>
  <cols>
    <col min="3" max="3" width="11.54296875" customWidth="1"/>
    <col min="4" max="4" width="11.1796875" customWidth="1"/>
    <col min="5" max="5" width="12.36328125" customWidth="1"/>
    <col min="6" max="6" width="11.36328125" customWidth="1"/>
    <col min="7" max="7" width="10.81640625" customWidth="1"/>
    <col min="8" max="8" width="10.1796875" customWidth="1"/>
    <col min="9" max="9" width="10.6328125" customWidth="1"/>
  </cols>
  <sheetData>
    <row r="1" spans="1:9" ht="18.5" x14ac:dyDescent="0.45">
      <c r="A1" s="105" t="s">
        <v>115</v>
      </c>
      <c r="B1" s="106"/>
      <c r="C1" s="106"/>
      <c r="D1" s="106"/>
      <c r="E1" s="106"/>
      <c r="F1" s="106"/>
      <c r="G1" s="106"/>
      <c r="H1" s="106"/>
      <c r="I1" s="129"/>
    </row>
    <row r="2" spans="1:9" ht="18.5" x14ac:dyDescent="0.45">
      <c r="A2" s="108" t="s">
        <v>116</v>
      </c>
      <c r="B2" s="109"/>
      <c r="C2" s="109"/>
      <c r="D2" s="109"/>
      <c r="E2" s="109"/>
      <c r="F2" s="109"/>
      <c r="G2" s="109"/>
      <c r="H2" s="109"/>
      <c r="I2" s="131"/>
    </row>
    <row r="3" spans="1:9" ht="16" x14ac:dyDescent="0.4">
      <c r="A3" s="123" t="s">
        <v>125</v>
      </c>
      <c r="B3" s="124"/>
      <c r="C3" s="124"/>
      <c r="D3" s="124"/>
      <c r="E3" s="124"/>
      <c r="F3" s="124"/>
      <c r="G3" s="124"/>
      <c r="H3" s="124"/>
      <c r="I3" s="132"/>
    </row>
    <row r="4" spans="1:9" ht="16" x14ac:dyDescent="0.4">
      <c r="A4" s="133"/>
      <c r="B4" s="134"/>
      <c r="C4" s="134"/>
      <c r="D4" s="134"/>
      <c r="E4" s="134"/>
      <c r="F4" s="134"/>
      <c r="G4" s="134"/>
      <c r="H4" s="134"/>
      <c r="I4" s="135"/>
    </row>
    <row r="5" spans="1:9" x14ac:dyDescent="0.35">
      <c r="A5" s="104"/>
      <c r="B5" s="104"/>
      <c r="C5" s="130" t="s">
        <v>118</v>
      </c>
      <c r="D5" s="130"/>
      <c r="E5" s="130"/>
      <c r="F5" s="130"/>
      <c r="G5" s="130"/>
      <c r="H5" s="130"/>
      <c r="I5" s="130"/>
    </row>
    <row r="6" spans="1:9" x14ac:dyDescent="0.35">
      <c r="A6" s="104"/>
      <c r="B6" s="104"/>
      <c r="C6" s="88">
        <v>5.5</v>
      </c>
      <c r="D6" s="88">
        <v>6</v>
      </c>
      <c r="E6" s="88">
        <v>6.5</v>
      </c>
      <c r="F6" s="88">
        <v>7</v>
      </c>
      <c r="G6" s="88">
        <v>7.5</v>
      </c>
      <c r="H6" s="88">
        <v>8</v>
      </c>
      <c r="I6" s="88">
        <v>8.5</v>
      </c>
    </row>
    <row r="7" spans="1:9" ht="14.5" customHeight="1" x14ac:dyDescent="0.35">
      <c r="A7" s="103" t="s">
        <v>117</v>
      </c>
      <c r="B7" s="89">
        <v>100</v>
      </c>
      <c r="C7" s="91">
        <v>-4502.4933167766849</v>
      </c>
      <c r="D7" s="91">
        <v>-4232.4933167766849</v>
      </c>
      <c r="E7" s="91">
        <v>-3962.4933167766849</v>
      </c>
      <c r="F7" s="91">
        <v>-3692.4933167766849</v>
      </c>
      <c r="G7" s="91">
        <v>-3422.4933167766849</v>
      </c>
      <c r="H7" s="91">
        <v>-3152.4933167766849</v>
      </c>
      <c r="I7" s="91">
        <v>-2882.4933167766849</v>
      </c>
    </row>
    <row r="8" spans="1:9" x14ac:dyDescent="0.35">
      <c r="A8" s="103"/>
      <c r="B8" s="89">
        <v>200</v>
      </c>
      <c r="C8" s="91">
        <v>-3656.2503240295591</v>
      </c>
      <c r="D8" s="91">
        <v>-3116.2503240295591</v>
      </c>
      <c r="E8" s="91">
        <v>-2576.2503240295591</v>
      </c>
      <c r="F8" s="91">
        <v>-2036.2503240295591</v>
      </c>
      <c r="G8" s="91">
        <v>-1496.2503240295591</v>
      </c>
      <c r="H8" s="91">
        <v>-956.25032402955912</v>
      </c>
      <c r="I8" s="91">
        <v>-416.25032402955912</v>
      </c>
    </row>
    <row r="9" spans="1:9" x14ac:dyDescent="0.35">
      <c r="A9" s="103"/>
      <c r="B9" s="89">
        <v>300</v>
      </c>
      <c r="C9" s="91">
        <v>-2860.0073312824352</v>
      </c>
      <c r="D9" s="91">
        <v>-2050.0073312824352</v>
      </c>
      <c r="E9" s="91">
        <v>-1240.0073312824352</v>
      </c>
      <c r="F9" s="91">
        <v>-430.00733128243519</v>
      </c>
      <c r="G9" s="91">
        <v>379.99266871756481</v>
      </c>
      <c r="H9" s="91">
        <v>1189.9926687175648</v>
      </c>
      <c r="I9" s="91">
        <v>1999.9926687175648</v>
      </c>
    </row>
    <row r="10" spans="1:9" x14ac:dyDescent="0.35">
      <c r="A10" s="103"/>
      <c r="B10" s="89">
        <v>400</v>
      </c>
      <c r="C10" s="91">
        <v>-2013.7643385353113</v>
      </c>
      <c r="D10" s="91">
        <v>-933.76433853531125</v>
      </c>
      <c r="E10" s="91">
        <v>146.23566146468875</v>
      </c>
      <c r="F10" s="91">
        <v>1226.2356614646887</v>
      </c>
      <c r="G10" s="91">
        <v>2306.2356614646887</v>
      </c>
      <c r="H10" s="91">
        <v>3386.2356614646887</v>
      </c>
      <c r="I10" s="91">
        <v>4466.2356614646887</v>
      </c>
    </row>
    <row r="11" spans="1:9" ht="14.5" customHeight="1" x14ac:dyDescent="0.35">
      <c r="A11" s="103"/>
      <c r="B11" s="89">
        <v>500</v>
      </c>
      <c r="C11" s="91">
        <v>126.47865421181632</v>
      </c>
      <c r="D11" s="91">
        <v>1476.4786542118163</v>
      </c>
      <c r="E11" s="91">
        <v>1476.4786542118163</v>
      </c>
      <c r="F11" s="91">
        <v>2826.4786542118163</v>
      </c>
      <c r="G11" s="91">
        <v>4176.4786542118163</v>
      </c>
      <c r="H11" s="91">
        <v>5526.4786542118163</v>
      </c>
      <c r="I11" s="91">
        <v>6876.4786542118163</v>
      </c>
    </row>
    <row r="12" spans="1:9" x14ac:dyDescent="0.35">
      <c r="A12" s="103"/>
      <c r="B12" s="89">
        <v>1000</v>
      </c>
      <c r="C12" s="91">
        <v>1892.0864750902983</v>
      </c>
      <c r="D12" s="91">
        <v>4592.0864750902983</v>
      </c>
      <c r="E12" s="91">
        <v>7292.0864750902983</v>
      </c>
      <c r="F12" s="91">
        <v>9992.0864750902983</v>
      </c>
      <c r="G12" s="91">
        <v>12692.086475090298</v>
      </c>
      <c r="H12" s="91">
        <v>15392.086475090298</v>
      </c>
      <c r="I12" s="91">
        <v>18092.086475090298</v>
      </c>
    </row>
    <row r="13" spans="1:9" x14ac:dyDescent="0.35">
      <c r="A13" s="103"/>
      <c r="B13" s="89">
        <v>1500</v>
      </c>
      <c r="C13" s="91">
        <v>4957.6942959687804</v>
      </c>
      <c r="D13" s="91">
        <v>9007.6942959687804</v>
      </c>
      <c r="E13" s="91">
        <v>13057.69429596878</v>
      </c>
      <c r="F13" s="91">
        <v>17107.69429596878</v>
      </c>
      <c r="G13" s="91">
        <v>21157.69429596878</v>
      </c>
      <c r="H13" s="91">
        <v>25207.69429596878</v>
      </c>
      <c r="I13" s="91">
        <v>29257.69429596878</v>
      </c>
    </row>
    <row r="14" spans="1:9" ht="14.5" customHeight="1" x14ac:dyDescent="0.35">
      <c r="A14" s="103"/>
      <c r="B14" s="89">
        <v>2000</v>
      </c>
      <c r="C14" s="91">
        <v>8073.3021168472624</v>
      </c>
      <c r="D14" s="91">
        <v>13473.302116847262</v>
      </c>
      <c r="E14" s="91">
        <v>18873.302116847262</v>
      </c>
      <c r="F14" s="91">
        <v>24273.302116847262</v>
      </c>
      <c r="G14" s="91">
        <v>29673.302116847262</v>
      </c>
      <c r="H14" s="91">
        <v>35073.302116847262</v>
      </c>
      <c r="I14" s="91">
        <v>40473.302116847262</v>
      </c>
    </row>
    <row r="15" spans="1:9" ht="15" thickBot="1" x14ac:dyDescent="0.4"/>
    <row r="16" spans="1:9" ht="18.5" x14ac:dyDescent="0.45">
      <c r="A16" s="105" t="s">
        <v>115</v>
      </c>
      <c r="B16" s="106"/>
      <c r="C16" s="106"/>
      <c r="D16" s="106"/>
      <c r="E16" s="106"/>
      <c r="F16" s="106"/>
      <c r="G16" s="107"/>
    </row>
    <row r="17" spans="1:7" ht="18.5" customHeight="1" x14ac:dyDescent="0.45">
      <c r="A17" s="108" t="s">
        <v>119</v>
      </c>
      <c r="B17" s="109"/>
      <c r="C17" s="109"/>
      <c r="D17" s="109"/>
      <c r="E17" s="109"/>
      <c r="F17" s="109"/>
      <c r="G17" s="110"/>
    </row>
    <row r="18" spans="1:7" ht="16" x14ac:dyDescent="0.4">
      <c r="A18" s="123" t="s">
        <v>127</v>
      </c>
      <c r="B18" s="124"/>
      <c r="C18" s="124"/>
      <c r="D18" s="124"/>
      <c r="E18" s="124"/>
      <c r="F18" s="124"/>
      <c r="G18" s="125"/>
    </row>
    <row r="19" spans="1:7" ht="16" x14ac:dyDescent="0.4">
      <c r="A19" s="126"/>
      <c r="B19" s="127"/>
      <c r="C19" s="127"/>
      <c r="D19" s="127"/>
      <c r="E19" s="127"/>
      <c r="F19" s="127"/>
      <c r="G19" s="128"/>
    </row>
    <row r="20" spans="1:7" x14ac:dyDescent="0.35">
      <c r="A20" s="104"/>
      <c r="B20" s="104"/>
      <c r="C20" s="117" t="s">
        <v>120</v>
      </c>
      <c r="D20" s="118"/>
      <c r="E20" s="118"/>
      <c r="F20" s="118"/>
      <c r="G20" s="119"/>
    </row>
    <row r="21" spans="1:7" x14ac:dyDescent="0.35">
      <c r="A21" s="104"/>
      <c r="B21" s="104"/>
      <c r="C21" s="88">
        <v>0</v>
      </c>
      <c r="D21" s="88">
        <v>17.850000000000001</v>
      </c>
      <c r="E21" s="88">
        <v>25</v>
      </c>
      <c r="F21" s="88">
        <v>27.5</v>
      </c>
      <c r="G21" s="88">
        <v>30</v>
      </c>
    </row>
    <row r="22" spans="1:7" x14ac:dyDescent="0.35">
      <c r="A22" s="103" t="s">
        <v>117</v>
      </c>
      <c r="B22" s="89">
        <v>100</v>
      </c>
      <c r="C22" s="91">
        <v>-2073.7433167766849</v>
      </c>
      <c r="D22" s="91">
        <v>-3229.5308167766852</v>
      </c>
      <c r="E22" s="91">
        <v>-3692.4933167766849</v>
      </c>
      <c r="F22" s="91">
        <v>-3854.3683167766849</v>
      </c>
      <c r="G22" s="91">
        <v>-4016.2433167766849</v>
      </c>
    </row>
    <row r="23" spans="1:7" x14ac:dyDescent="0.35">
      <c r="A23" s="103"/>
      <c r="B23" s="89">
        <v>200</v>
      </c>
      <c r="C23" s="52">
        <v>-398.75032402956003</v>
      </c>
      <c r="D23" s="91">
        <v>-1567.9253240295602</v>
      </c>
      <c r="E23" s="91">
        <v>-2036.2503240295591</v>
      </c>
      <c r="F23" s="91">
        <v>-2200.0003240295591</v>
      </c>
      <c r="G23" s="91">
        <v>-2363.7503240295591</v>
      </c>
    </row>
    <row r="24" spans="1:7" x14ac:dyDescent="0.35">
      <c r="A24" s="103"/>
      <c r="B24" s="89">
        <v>300</v>
      </c>
      <c r="C24" s="91">
        <v>1226.2426687175648</v>
      </c>
      <c r="D24" s="91">
        <v>43.680168717562992</v>
      </c>
      <c r="E24" s="91">
        <v>-430.00733128243519</v>
      </c>
      <c r="F24" s="91">
        <v>-595.63233128243519</v>
      </c>
      <c r="G24" s="91">
        <v>-761.25733128243519</v>
      </c>
    </row>
    <row r="25" spans="1:7" x14ac:dyDescent="0.35">
      <c r="A25" s="103"/>
      <c r="B25" s="89">
        <v>400</v>
      </c>
      <c r="C25" s="91">
        <v>2901.2356614646887</v>
      </c>
      <c r="D25" s="91">
        <v>1705.2856614646898</v>
      </c>
      <c r="E25" s="91">
        <v>1226.2356614646887</v>
      </c>
      <c r="F25" s="91">
        <v>1058.7356614646887</v>
      </c>
      <c r="G25" s="91">
        <v>891.23566146468875</v>
      </c>
    </row>
    <row r="26" spans="1:7" x14ac:dyDescent="0.35">
      <c r="A26" s="103"/>
      <c r="B26" s="89">
        <v>500</v>
      </c>
      <c r="C26" s="91">
        <v>4520.2286542118163</v>
      </c>
      <c r="D26" s="91">
        <v>3310.891154211813</v>
      </c>
      <c r="E26" s="91">
        <v>2826.4786542118163</v>
      </c>
      <c r="F26" s="91">
        <v>2657.1036542118163</v>
      </c>
      <c r="G26" s="91">
        <v>2487.7286542118163</v>
      </c>
    </row>
    <row r="27" spans="1:7" x14ac:dyDescent="0.35">
      <c r="A27" s="103"/>
      <c r="B27" s="89">
        <v>1000</v>
      </c>
      <c r="C27" s="91">
        <v>11779.586475090298</v>
      </c>
      <c r="D27" s="91">
        <v>10503.311475090297</v>
      </c>
      <c r="E27" s="91">
        <v>9992.0864750902983</v>
      </c>
      <c r="F27" s="91">
        <v>9813.3364750902983</v>
      </c>
      <c r="G27" s="91">
        <v>9634.5864750902983</v>
      </c>
    </row>
    <row r="28" spans="1:7" x14ac:dyDescent="0.35">
      <c r="A28" s="103"/>
      <c r="B28" s="89">
        <v>1500</v>
      </c>
      <c r="C28" s="91">
        <v>18988.94429596878</v>
      </c>
      <c r="D28" s="91">
        <v>17645.731795968779</v>
      </c>
      <c r="E28" s="91">
        <v>17107.69429596878</v>
      </c>
      <c r="F28" s="91">
        <v>16919.56929596878</v>
      </c>
      <c r="G28" s="91">
        <v>16731.44429596878</v>
      </c>
    </row>
    <row r="29" spans="1:7" x14ac:dyDescent="0.35">
      <c r="A29" s="103"/>
      <c r="B29" s="89">
        <v>2000</v>
      </c>
      <c r="C29" s="91">
        <v>26248.302116847262</v>
      </c>
      <c r="D29" s="91">
        <v>24838.152116847268</v>
      </c>
      <c r="E29" s="91">
        <v>24273.302116847262</v>
      </c>
      <c r="F29" s="91">
        <v>24075.802116847262</v>
      </c>
      <c r="G29" s="91">
        <v>23878.302116847262</v>
      </c>
    </row>
    <row r="30" spans="1:7" ht="15" thickBot="1" x14ac:dyDescent="0.4"/>
    <row r="31" spans="1:7" ht="18.5" x14ac:dyDescent="0.45">
      <c r="A31" s="105" t="s">
        <v>115</v>
      </c>
      <c r="B31" s="106"/>
      <c r="C31" s="106"/>
      <c r="D31" s="106"/>
      <c r="E31" s="106"/>
      <c r="F31" s="106"/>
      <c r="G31" s="107"/>
    </row>
    <row r="32" spans="1:7" ht="18.5" customHeight="1" x14ac:dyDescent="0.45">
      <c r="A32" s="108" t="s">
        <v>123</v>
      </c>
      <c r="B32" s="109"/>
      <c r="C32" s="109"/>
      <c r="D32" s="109"/>
      <c r="E32" s="109"/>
      <c r="F32" s="109"/>
      <c r="G32" s="110"/>
    </row>
    <row r="33" spans="1:7" x14ac:dyDescent="0.35">
      <c r="A33" s="111" t="s">
        <v>128</v>
      </c>
      <c r="B33" s="112"/>
      <c r="C33" s="112"/>
      <c r="D33" s="112"/>
      <c r="E33" s="112"/>
      <c r="F33" s="112"/>
      <c r="G33" s="113"/>
    </row>
    <row r="34" spans="1:7" ht="16" customHeight="1" x14ac:dyDescent="0.35">
      <c r="A34" s="114"/>
      <c r="B34" s="115"/>
      <c r="C34" s="115"/>
      <c r="D34" s="115"/>
      <c r="E34" s="115"/>
      <c r="F34" s="115"/>
      <c r="G34" s="116"/>
    </row>
    <row r="35" spans="1:7" x14ac:dyDescent="0.35">
      <c r="A35" s="104"/>
      <c r="B35" s="104"/>
      <c r="C35" s="117" t="s">
        <v>121</v>
      </c>
      <c r="D35" s="118"/>
      <c r="E35" s="118"/>
      <c r="F35" s="118"/>
      <c r="G35" s="119"/>
    </row>
    <row r="36" spans="1:7" x14ac:dyDescent="0.35">
      <c r="A36" s="104"/>
      <c r="B36" s="104"/>
      <c r="C36" s="90" t="s">
        <v>126</v>
      </c>
      <c r="D36" s="120" t="s">
        <v>122</v>
      </c>
      <c r="E36" s="121"/>
      <c r="F36" s="121"/>
      <c r="G36" s="122"/>
    </row>
    <row r="37" spans="1:7" ht="15" customHeight="1" x14ac:dyDescent="0.35">
      <c r="A37" s="104"/>
      <c r="B37" s="104"/>
      <c r="C37" s="92">
        <v>0</v>
      </c>
      <c r="D37" s="92">
        <v>0.05</v>
      </c>
      <c r="E37" s="92">
        <v>0.1</v>
      </c>
      <c r="F37" s="92">
        <v>0.15</v>
      </c>
      <c r="G37" s="92">
        <v>0.2</v>
      </c>
    </row>
    <row r="38" spans="1:7" x14ac:dyDescent="0.35">
      <c r="A38" s="103" t="s">
        <v>117</v>
      </c>
      <c r="B38" s="89">
        <v>100</v>
      </c>
      <c r="C38" s="91">
        <v>-3692.4933167766849</v>
      </c>
      <c r="D38" s="91">
        <v>-3733.877667139328</v>
      </c>
      <c r="E38" s="91">
        <v>-3775.262017501972</v>
      </c>
      <c r="F38" s="91">
        <v>-3816.646367864616</v>
      </c>
      <c r="G38" s="91">
        <v>-3858.03071822726</v>
      </c>
    </row>
    <row r="39" spans="1:7" x14ac:dyDescent="0.35">
      <c r="A39" s="103"/>
      <c r="B39" s="89">
        <v>200</v>
      </c>
      <c r="C39" s="91">
        <v>-2036.2503240295591</v>
      </c>
      <c r="D39" s="91">
        <v>-2119.0190247548471</v>
      </c>
      <c r="E39" s="91">
        <v>-2201.7877254801351</v>
      </c>
      <c r="F39" s="91">
        <v>-2284.5564262054213</v>
      </c>
      <c r="G39" s="91">
        <v>-2367.3251269307111</v>
      </c>
    </row>
    <row r="40" spans="1:7" x14ac:dyDescent="0.35">
      <c r="A40" s="103"/>
      <c r="B40" s="89">
        <v>300</v>
      </c>
      <c r="C40" s="91">
        <v>-430.00733128243519</v>
      </c>
      <c r="D40" s="91">
        <v>-554.16038237036628</v>
      </c>
      <c r="E40" s="91">
        <v>-678.31343345829737</v>
      </c>
      <c r="F40" s="91">
        <v>-802.46648454622846</v>
      </c>
      <c r="G40" s="91">
        <v>-926.61953563415955</v>
      </c>
    </row>
    <row r="41" spans="1:7" x14ac:dyDescent="0.35">
      <c r="A41" s="103"/>
      <c r="B41" s="89">
        <v>400</v>
      </c>
      <c r="C41" s="91">
        <v>1226.2356614646887</v>
      </c>
      <c r="D41" s="91">
        <v>1060.6982600141164</v>
      </c>
      <c r="E41" s="91">
        <v>895.16085856354039</v>
      </c>
      <c r="F41" s="91">
        <v>729.62345711296439</v>
      </c>
      <c r="G41" s="91">
        <v>564.08605566238839</v>
      </c>
    </row>
    <row r="42" spans="1:7" x14ac:dyDescent="0.35">
      <c r="A42" s="103"/>
      <c r="B42" s="89">
        <v>500</v>
      </c>
      <c r="C42" s="91">
        <v>2826.4786542118163</v>
      </c>
      <c r="D42" s="91">
        <v>2619.5569023985954</v>
      </c>
      <c r="E42" s="91">
        <v>2412.6351505853781</v>
      </c>
      <c r="F42" s="91">
        <v>2205.7133987721572</v>
      </c>
      <c r="G42" s="91">
        <v>1998.79164695894</v>
      </c>
    </row>
    <row r="43" spans="1:7" x14ac:dyDescent="0.35">
      <c r="A43" s="103"/>
      <c r="B43" s="89">
        <v>1000</v>
      </c>
      <c r="C43" s="91">
        <v>9992.0864750902983</v>
      </c>
      <c r="D43" s="91">
        <v>9578.2429714638602</v>
      </c>
      <c r="E43" s="91">
        <v>9164.399467837422</v>
      </c>
      <c r="F43" s="91">
        <v>8750.5559642109838</v>
      </c>
      <c r="G43" s="91">
        <v>8336.7124605845493</v>
      </c>
    </row>
    <row r="44" spans="1:7" x14ac:dyDescent="0.35">
      <c r="A44" s="103"/>
      <c r="B44" s="89">
        <v>1500</v>
      </c>
      <c r="C44" s="91">
        <v>17107.69429596878</v>
      </c>
      <c r="D44" s="91">
        <v>16486.929040529125</v>
      </c>
      <c r="E44" s="91">
        <v>15866.163785089469</v>
      </c>
      <c r="F44" s="91">
        <v>15245.398529649814</v>
      </c>
      <c r="G44" s="91">
        <v>14624.633274210159</v>
      </c>
    </row>
    <row r="45" spans="1:7" x14ac:dyDescent="0.35">
      <c r="A45" s="103"/>
      <c r="B45" s="89">
        <v>2000</v>
      </c>
      <c r="C45" s="91">
        <v>24273.302116847262</v>
      </c>
      <c r="D45" s="91">
        <v>23445.615109594386</v>
      </c>
      <c r="E45" s="91">
        <v>22617.92810234151</v>
      </c>
      <c r="F45" s="91">
        <v>21790.241095088633</v>
      </c>
      <c r="G45" s="91">
        <v>20962.554087835764</v>
      </c>
    </row>
    <row r="46" spans="1:7" ht="15" thickBot="1" x14ac:dyDescent="0.4"/>
    <row r="47" spans="1:7" ht="18.5" x14ac:dyDescent="0.45">
      <c r="A47" s="105" t="s">
        <v>115</v>
      </c>
      <c r="B47" s="106"/>
      <c r="C47" s="106"/>
      <c r="D47" s="106"/>
      <c r="E47" s="106"/>
      <c r="F47" s="107"/>
      <c r="G47" s="97"/>
    </row>
    <row r="48" spans="1:7" ht="18.5" customHeight="1" x14ac:dyDescent="0.45">
      <c r="A48" s="108" t="s">
        <v>124</v>
      </c>
      <c r="B48" s="109"/>
      <c r="C48" s="109"/>
      <c r="D48" s="109"/>
      <c r="E48" s="109"/>
      <c r="F48" s="110"/>
      <c r="G48" s="97"/>
    </row>
    <row r="49" spans="1:7" x14ac:dyDescent="0.35">
      <c r="A49" s="111" t="s">
        <v>129</v>
      </c>
      <c r="B49" s="112"/>
      <c r="C49" s="112"/>
      <c r="D49" s="112"/>
      <c r="E49" s="112"/>
      <c r="F49" s="113"/>
      <c r="G49" s="97"/>
    </row>
    <row r="50" spans="1:7" x14ac:dyDescent="0.35">
      <c r="A50" s="114"/>
      <c r="B50" s="115"/>
      <c r="C50" s="115"/>
      <c r="D50" s="115"/>
      <c r="E50" s="115"/>
      <c r="F50" s="116"/>
      <c r="G50" s="97"/>
    </row>
    <row r="51" spans="1:7" ht="16" x14ac:dyDescent="0.4">
      <c r="A51" s="104"/>
      <c r="B51" s="104"/>
      <c r="C51" s="92">
        <v>0.05</v>
      </c>
      <c r="D51" s="92">
        <v>0.1</v>
      </c>
      <c r="E51" s="92">
        <v>0.15</v>
      </c>
      <c r="F51" s="94">
        <v>0.2</v>
      </c>
      <c r="G51" s="97"/>
    </row>
    <row r="52" spans="1:7" x14ac:dyDescent="0.35">
      <c r="A52" s="103" t="s">
        <v>117</v>
      </c>
      <c r="B52" s="89">
        <v>100</v>
      </c>
      <c r="C52" s="93">
        <v>-3690.53071822726</v>
      </c>
      <c r="D52" s="93">
        <v>-3858.03071822726</v>
      </c>
      <c r="E52" s="93">
        <v>-4019.53071822726</v>
      </c>
      <c r="F52" s="95">
        <v>-4181.03071822726</v>
      </c>
      <c r="G52" s="97"/>
    </row>
    <row r="53" spans="1:7" x14ac:dyDescent="0.35">
      <c r="A53" s="103"/>
      <c r="B53" s="89">
        <v>200</v>
      </c>
      <c r="C53" s="93">
        <v>-2038.3251269307111</v>
      </c>
      <c r="D53" s="93">
        <v>-2367.3251269307111</v>
      </c>
      <c r="E53" s="93">
        <v>-2696.3251269307111</v>
      </c>
      <c r="F53" s="95">
        <v>-3019.3251269307111</v>
      </c>
      <c r="G53" s="97"/>
    </row>
    <row r="54" spans="1:7" x14ac:dyDescent="0.35">
      <c r="A54" s="103"/>
      <c r="B54" s="89">
        <v>300</v>
      </c>
      <c r="C54" s="5">
        <v>-436.11953563415955</v>
      </c>
      <c r="D54" s="93">
        <v>-926.61953563415955</v>
      </c>
      <c r="E54" s="93">
        <v>-1417.1195356341595</v>
      </c>
      <c r="F54" s="95">
        <v>-1907.6195356341595</v>
      </c>
      <c r="G54" s="97"/>
    </row>
    <row r="55" spans="1:7" x14ac:dyDescent="0.35">
      <c r="A55" s="103"/>
      <c r="B55" s="89">
        <v>400</v>
      </c>
      <c r="C55" s="93">
        <v>1216.0860556623884</v>
      </c>
      <c r="D55" s="93">
        <v>564.08605566238839</v>
      </c>
      <c r="E55" s="93">
        <v>-93.913944337611611</v>
      </c>
      <c r="F55" s="96">
        <v>-745.91394433761161</v>
      </c>
      <c r="G55" s="97"/>
    </row>
    <row r="56" spans="1:7" x14ac:dyDescent="0.35">
      <c r="A56" s="103"/>
      <c r="B56" s="89">
        <v>500</v>
      </c>
      <c r="C56" s="93">
        <v>2818.29164695894</v>
      </c>
      <c r="D56" s="93">
        <v>1998.79164695894</v>
      </c>
      <c r="E56" s="93">
        <v>1179.29164695894</v>
      </c>
      <c r="F56" s="95">
        <v>365.79164695893996</v>
      </c>
      <c r="G56" s="97"/>
    </row>
    <row r="57" spans="1:7" x14ac:dyDescent="0.35">
      <c r="A57" s="103"/>
      <c r="B57" s="89">
        <v>1000</v>
      </c>
      <c r="C57" s="93">
        <v>9975.7124605845493</v>
      </c>
      <c r="D57" s="93">
        <v>8336.7124605845493</v>
      </c>
      <c r="E57" s="93">
        <v>6697.7124605845493</v>
      </c>
      <c r="F57" s="95">
        <v>5064.7124605845493</v>
      </c>
      <c r="G57" s="97"/>
    </row>
    <row r="58" spans="1:7" x14ac:dyDescent="0.35">
      <c r="A58" s="103"/>
      <c r="B58" s="89">
        <v>1500</v>
      </c>
      <c r="C58" s="93">
        <v>17077.133274210159</v>
      </c>
      <c r="D58" s="93">
        <v>14624.633274210159</v>
      </c>
      <c r="E58" s="93">
        <v>12166.133274210159</v>
      </c>
      <c r="F58" s="95">
        <v>9713.6332742101586</v>
      </c>
      <c r="G58" s="97"/>
    </row>
    <row r="59" spans="1:7" x14ac:dyDescent="0.35">
      <c r="A59" s="103"/>
      <c r="B59" s="89">
        <v>2000</v>
      </c>
      <c r="C59" s="93">
        <v>24234.554087835764</v>
      </c>
      <c r="D59" s="93">
        <v>20962.554087835764</v>
      </c>
      <c r="E59" s="93">
        <v>17684.554087835764</v>
      </c>
      <c r="F59" s="95">
        <v>14412.554087835764</v>
      </c>
      <c r="G59" s="97"/>
    </row>
  </sheetData>
  <mergeCells count="26">
    <mergeCell ref="A1:I1"/>
    <mergeCell ref="A5:B6"/>
    <mergeCell ref="C5:I5"/>
    <mergeCell ref="A7:A14"/>
    <mergeCell ref="A2:I2"/>
    <mergeCell ref="A3:I3"/>
    <mergeCell ref="A4:I4"/>
    <mergeCell ref="A22:A29"/>
    <mergeCell ref="A16:G16"/>
    <mergeCell ref="A17:G17"/>
    <mergeCell ref="A18:G18"/>
    <mergeCell ref="A19:G19"/>
    <mergeCell ref="A20:B21"/>
    <mergeCell ref="C20:G20"/>
    <mergeCell ref="C35:G35"/>
    <mergeCell ref="D36:G36"/>
    <mergeCell ref="A31:G31"/>
    <mergeCell ref="A32:G32"/>
    <mergeCell ref="A35:B37"/>
    <mergeCell ref="A33:G34"/>
    <mergeCell ref="A52:A59"/>
    <mergeCell ref="A51:B51"/>
    <mergeCell ref="A38:A45"/>
    <mergeCell ref="A47:F47"/>
    <mergeCell ref="A48:F48"/>
    <mergeCell ref="A49:F50"/>
  </mergeCells>
  <conditionalFormatting sqref="C52:F59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C22:G22 D23:G23 C24:G29 D54:F54">
    <cfRule type="cellIs" dxfId="6" priority="10" operator="greaterThan">
      <formula>0</formula>
    </cfRule>
  </conditionalFormatting>
  <conditionalFormatting sqref="C22:G29">
    <cfRule type="cellIs" dxfId="5" priority="5" operator="lessThan">
      <formula>0</formula>
    </cfRule>
  </conditionalFormatting>
  <conditionalFormatting sqref="C38:G45">
    <cfRule type="cellIs" dxfId="4" priority="3" operator="greaterThan">
      <formula>0</formula>
    </cfRule>
    <cfRule type="cellIs" dxfId="3" priority="4" operator="lessThan">
      <formula>0</formula>
    </cfRule>
  </conditionalFormatting>
  <conditionalFormatting sqref="C7:I14">
    <cfRule type="cellIs" dxfId="2" priority="12" operator="greaterThan">
      <formula>0</formula>
    </cfRule>
    <cfRule type="cellIs" dxfId="1" priority="13" operator="lessThan">
      <formula>0</formula>
    </cfRule>
  </conditionalFormatting>
  <conditionalFormatting sqref="D54:F54">
    <cfRule type="cellIs" dxfId="0" priority="1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Assumptions</vt:lpstr>
      <vt:lpstr>Your Operation &amp; Profit</vt:lpstr>
      <vt:lpstr>Variable Costs</vt:lpstr>
      <vt:lpstr>Fixed Costs (Equip&amp;Infra)</vt:lpstr>
      <vt:lpstr>Fixed Costs (other)</vt:lpstr>
      <vt:lpstr>Sensitivity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Talia Parfeniuk</dc:creator>
  <cp:lastModifiedBy>Talia Parfeniuk</cp:lastModifiedBy>
  <cp:lastPrinted>2025-06-30T00:33:06Z</cp:lastPrinted>
  <dcterms:created xsi:type="dcterms:W3CDTF">2025-05-27T17:43:58Z</dcterms:created>
  <dcterms:modified xsi:type="dcterms:W3CDTF">2026-01-09T22:57:19Z</dcterms:modified>
</cp:coreProperties>
</file>